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'PrintSheet'!$A$1:$AI$47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<sst xmlns="http://schemas.openxmlformats.org/spreadsheetml/2006/main" count="621" uniqueCount="324">
  <si>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</si>
  <si>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</si>
  <si>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</si>
  <si>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</si>
  <si>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</si>
  <si>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</si>
  <si>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</si>
  <si>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</si>
  <si>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</si>
  <si>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</si>
  <si>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</si>
  <si>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</si>
  <si>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</si>
  <si>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</si>
  <si>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</si>
  <si>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</si>
  <si>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</si>
  <si>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</si>
  <si>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</si>
  <si>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</si>
  <si>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</si>
  <si>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</si>
  <si>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</si>
  <si>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</si>
  <si>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</si>
  <si>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</si>
  <si>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</si>
  <si>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</si>
  <si>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</si>
  <si>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</si>
  <si>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</si>
  <si>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</si>
  <si>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</si>
  <si>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</si>
  <si>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</si>
  <si>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</si>
  <si>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</si>
  <si>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</si>
  <si>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</si>
  <si>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</si>
  <si>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</si>
  <si>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</si>
  <si>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</si>
  <si>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</si>
  <si>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</si>
  <si>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</si>
  <si>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</si>
  <si>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</si>
  <si>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</si>
  <si>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</si>
  <si>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</si>
  <si>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</si>
  <si>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</si>
  <si>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</si>
  <si>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</si>
  <si>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</si>
  <si>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</si>
  <si>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</si>
  <si>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</si>
  <si>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</si>
  <si>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</si>
  <si>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</si>
  <si>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</si>
  <si>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</si>
  <si>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</si>
  <si>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</si>
  <si>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</si>
  <si>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</si>
  <si>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</si>
  <si>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</si>
  <si>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</si>
  <si>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</si>
  <si>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</si>
  <si>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</si>
  <si>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</si>
  <si>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</si>
  <si>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</si>
  <si>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</si>
  <si>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</si>
  <si>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</si>
  <si>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</si>
  <si>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</si>
  <si>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</si>
  <si>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</si>
  <si>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</si>
  <si>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</si>
  <si>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</si>
  <si>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</si>
  <si>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</si>
  <si>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</si>
  <si>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</si>
  <si>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</si>
  <si>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</si>
  <si>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</si>
  <si>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</si>
  <si>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</si>
  <si>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</si>
  <si>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</si>
  <si>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</si>
  <si>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</si>
  <si>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</si>
  <si>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</si>
  <si>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</si>
  <si>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</si>
  <si>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</si>
  <si>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</si>
  <si>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</si>
  <si>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</si>
  <si>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</si>
  <si>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</si>
  <si>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</si>
  <si>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</si>
  <si>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</si>
  <si>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</si>
  <si>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</si>
  <si>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</si>
  <si>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</si>
  <si>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</si>
  <si>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</si>
  <si>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</si>
  <si>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</si>
  <si>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</si>
  <si>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</si>
  <si>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</si>
  <si>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</si>
  <si>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</si>
  <si>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</si>
  <si>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</si>
  <si>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</si>
  <si>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</si>
  <si>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</si>
  <si>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</si>
  <si>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</si>
  <si>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</si>
  <si>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</si>
  <si>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</si>
  <si>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</si>
  <si>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</si>
  <si>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</si>
  <si>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</si>
  <si>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</si>
  <si>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</si>
  <si>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</si>
  <si>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</si>
  <si>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</si>
  <si>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</si>
  <si>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</si>
  <si>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</si>
  <si>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</si>
  <si>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</si>
  <si>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</si>
  <si>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</si>
  <si>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</si>
  <si>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</si>
  <si>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</si>
  <si>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</si>
  <si>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</si>
  <si>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</si>
  <si>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</si>
  <si>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</si>
  <si>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</si>
  <si>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</si>
  <si>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</si>
  <si>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</si>
  <si>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</si>
  <si>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</si>
  <si>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</si>
  <si>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</si>
  <si>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</si>
  <si>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</si>
  <si>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</si>
  <si>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</si>
  <si>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</si>
  <si>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</si>
  <si>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</si>
  <si>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</si>
  <si>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</si>
  <si>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</si>
  <si>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</si>
  <si>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</si>
  <si>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</si>
  <si>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</si>
  <si>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</si>
  <si>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</si>
  <si>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</si>
  <si>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</si>
  <si>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</si>
  <si>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</si>
  <si>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</si>
  <si>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</si>
  <si>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</si>
  <si>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</si>
  <si>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</si>
  <si>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</si>
  <si>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</si>
  <si>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</si>
  <si>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</si>
  <si>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</si>
  <si>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</si>
  <si>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</si>
  <si>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</si>
  <si>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</si>
  <si>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</si>
  <si>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</si>
  <si>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</si>
  <si>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</si>
  <si>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</si>
  <si>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</si>
  <si>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</si>
  <si>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</si>
  <si>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</si>
  <si>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</si>
  <si>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</si>
  <si>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</si>
  <si>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</si>
  <si>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</si>
  <si>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</si>
  <si>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</si>
  <si>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</si>
  <si>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</si>
  <si>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</si>
  <si>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</si>
  <si>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</si>
  <si>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</si>
  <si>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</si>
  <si>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</si>
  <si>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</si>
  <si>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</si>
  <si>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</si>
  <si>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</si>
  <si>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</si>
  <si>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</si>
  <si>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</si>
  <si>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</si>
  <si>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</si>
  <si>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</si>
  <si>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</si>
  <si>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</si>
  <si>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</si>
  <si>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</si>
  <si>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</si>
  <si>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</si>
  <si>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</si>
  <si>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</si>
  <si>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</si>
  <si>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</si>
  <si>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</si>
  <si>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</si>
  <si>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</si>
  <si>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</si>
  <si>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</si>
  <si>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</si>
  <si>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</si>
  <si>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</si>
  <si>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</si>
  <si>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</si>
  <si>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</si>
  <si>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</si>
  <si>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</si>
  <si>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</si>
  <si>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</si>
  <si>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</si>
  <si>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</si>
  <si>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</si>
  <si>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</si>
  <si>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</si>
  <si>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</si>
  <si>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</si>
  <si>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</si>
  <si>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</si>
  <si>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</si>
  <si>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</si>
  <si>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</si>
  <si>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</si>
  <si>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</si>
  <si>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</si>
  <si>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GB</t>
  </si>
  <si>
    <t>RUS</t>
  </si>
  <si>
    <t>M3</t>
  </si>
  <si>
    <t>M/PLY</t>
  </si>
  <si>
    <t>M1</t>
  </si>
  <si>
    <t xml:space="preserve"> </t>
  </si>
  <si>
    <t>IND</t>
  </si>
  <si>
    <t>MUKESH SINGH</t>
  </si>
  <si>
    <t>SERGEY STARODUBSKLY</t>
  </si>
  <si>
    <t>PHIL BENISTON</t>
  </si>
  <si>
    <t>SP</t>
  </si>
  <si>
    <t>TEEN</t>
  </si>
  <si>
    <t>LUKE MORLEY</t>
  </si>
  <si>
    <t>RUSLAN KULEBYAKIN</t>
  </si>
  <si>
    <t>SAM COOPER</t>
  </si>
  <si>
    <t>ANDY WARD</t>
  </si>
  <si>
    <t>BELLA WHITLAM</t>
  </si>
  <si>
    <t>RICHARD DAVISON</t>
  </si>
  <si>
    <t>MARCUS GRIFFITHS</t>
  </si>
  <si>
    <t>JOHNNY BROWN</t>
  </si>
  <si>
    <t>MAARIYAH TAHIR</t>
  </si>
  <si>
    <t>ALEEM MAJID</t>
  </si>
  <si>
    <t>JACK MCDONNELL</t>
  </si>
  <si>
    <t>TONY POWER</t>
  </si>
  <si>
    <t>NADEZHDA SEMENOVA</t>
  </si>
  <si>
    <t>ANTHONY MORLEY</t>
  </si>
  <si>
    <t>JASON FLETCHER</t>
  </si>
  <si>
    <t>RAY ALLISON</t>
  </si>
  <si>
    <t>M4</t>
  </si>
  <si>
    <t>GER</t>
  </si>
  <si>
    <t>PAUL EDMONDS</t>
  </si>
  <si>
    <t>S/PLY</t>
  </si>
  <si>
    <t>JAMES GODBER</t>
  </si>
  <si>
    <t>GEO</t>
  </si>
  <si>
    <t>PAATA KAVIARADZE</t>
  </si>
  <si>
    <t>ZURABI AKHEMETH</t>
  </si>
  <si>
    <t>DEAN ALLISON</t>
  </si>
  <si>
    <t>JOHN RINGO HINTON</t>
  </si>
  <si>
    <t>CARL WILLIAMS</t>
  </si>
  <si>
    <t>ANDREW SULLIVAN</t>
  </si>
  <si>
    <t>KRISTEN SCHWADE</t>
  </si>
  <si>
    <t>M3/OP</t>
  </si>
  <si>
    <t>FR</t>
  </si>
  <si>
    <t>KEVIN SAVORY</t>
  </si>
  <si>
    <t>JULIO GARCIA</t>
  </si>
  <si>
    <t>m3</t>
  </si>
  <si>
    <t>MICHELON DIDIER - 2</t>
  </si>
  <si>
    <t>m1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</si>
</sst>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5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6" borderId="12" xfId="0" applyFont="1" applyFill="1" applyBorder="1" applyAlignment="1" applyProtection="1">
      <alignment horizontal="center"/>
      <protection locked="0"/>
    </xf>
    <xf numFmtId="0" fontId="73" fillId="46" borderId="12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/>
      <protection locked="0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8" xfId="0" applyFont="1" applyFill="1" applyBorder="1" applyAlignment="1" applyProtection="1">
      <alignment horizontal="center" vertical="center" shrinkToFit="1"/>
      <protection locked="0"/>
    </xf>
    <xf numFmtId="0" fontId="14" fillId="38" borderId="59" xfId="0" applyFont="1" applyFill="1" applyBorder="1" applyAlignment="1" applyProtection="1">
      <alignment horizontal="center" vertical="center" shrinkToFit="1"/>
      <protection locked="0"/>
    </xf>
    <xf numFmtId="0" fontId="14" fillId="38" borderId="5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60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60" xfId="0" applyFont="1" applyFill="1" applyBorder="1" applyAlignment="1">
      <alignment horizontal="center" vertical="center" shrinkToFit="1"/>
    </xf>
    <xf numFmtId="0" fontId="14" fillId="38" borderId="61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2" xfId="0" applyFont="1" applyFill="1" applyBorder="1" applyAlignment="1" applyProtection="1">
      <alignment horizontal="center" vertical="center"/>
      <protection locked="0"/>
    </xf>
    <xf numFmtId="0" fontId="14" fillId="38" borderId="5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4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8" fontId="13" fillId="47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47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7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8" borderId="60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8" borderId="1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8127447"/>
        <c:axId val="30493840"/>
      </c:barChart>
      <c:catAx>
        <c:axId val="48127447"/>
        <c:scaling>
          <c:orientation val="minMax"/>
        </c:scaling>
        <c:axPos val="l"/>
        <c:delete val="1"/>
        <c:majorTickMark val="out"/>
        <c:minorTickMark val="none"/>
        <c:tickLblPos val="none"/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8127447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2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2" t="s">
        <v>131</v>
      </c>
      <c r="P6" s="213" t="s">
        <v>132</v>
      </c>
      <c r="Q6" s="214" t="s">
        <v>133</v>
      </c>
      <c r="S6" s="218">
        <v>1</v>
      </c>
      <c r="T6" s="217">
        <v>7</v>
      </c>
    </row>
    <row r="7" spans="3:20" ht="15">
      <c r="C7" s="229" t="str">
        <f>TRIM(Lifting!B3)</f>
        <v>Squat 1</v>
      </c>
      <c r="D7" s="213" t="e">
        <f>ABS(Lifting!D3)</f>
        <v>#N/A</v>
      </c>
      <c r="E7" s="213"/>
      <c r="F7" s="213"/>
      <c r="G7" s="213" t="e">
        <f>ABS(Lifting!D3)</f>
        <v>#N/A</v>
      </c>
      <c r="H7" s="214"/>
      <c r="I7" s="7"/>
      <c r="K7" s="328"/>
      <c r="L7" s="329"/>
      <c r="M7" s="330"/>
      <c r="O7" s="215" t="s">
        <v>242</v>
      </c>
      <c r="P7" s="216" t="s">
        <v>255</v>
      </c>
      <c r="Q7" s="217">
        <v>1</v>
      </c>
      <c r="S7" s="218">
        <v>2</v>
      </c>
      <c r="T7" s="217">
        <v>5</v>
      </c>
    </row>
    <row r="8" spans="3:20" ht="12.75" customHeight="1">
      <c r="C8" s="212" t="s">
        <v>4</v>
      </c>
      <c r="D8" s="213" t="s">
        <v>43</v>
      </c>
      <c r="E8" s="213" t="s">
        <v>5</v>
      </c>
      <c r="F8" s="213" t="s">
        <v>4</v>
      </c>
      <c r="G8" s="213" t="s">
        <v>44</v>
      </c>
      <c r="H8" s="214" t="s">
        <v>5</v>
      </c>
      <c r="J8" s="7" t="s">
        <v>129</v>
      </c>
      <c r="K8" s="221" t="s">
        <v>9</v>
      </c>
      <c r="L8" s="222"/>
      <c r="M8" s="223" t="s">
        <v>10</v>
      </c>
      <c r="O8" s="215" t="s">
        <v>243</v>
      </c>
      <c r="P8" s="216" t="s">
        <v>256</v>
      </c>
      <c r="Q8" s="217">
        <v>1</v>
      </c>
      <c r="S8" s="218">
        <v>3</v>
      </c>
      <c r="T8" s="217">
        <v>3</v>
      </c>
    </row>
    <row r="9" spans="3:20" ht="12.75" customHeight="1">
      <c r="C9" s="212" t="s">
        <v>6</v>
      </c>
      <c r="D9" s="213" t="s">
        <v>7</v>
      </c>
      <c r="E9" s="213" t="s">
        <v>8</v>
      </c>
      <c r="F9" s="213" t="s">
        <v>6</v>
      </c>
      <c r="G9" s="213" t="s">
        <v>7</v>
      </c>
      <c r="H9" s="214" t="s">
        <v>8</v>
      </c>
      <c r="I9" s="7"/>
      <c r="J9" s="174">
        <v>10</v>
      </c>
      <c r="K9" s="224">
        <v>52</v>
      </c>
      <c r="L9" s="225">
        <v>10</v>
      </c>
      <c r="M9" s="226">
        <v>44</v>
      </c>
      <c r="O9" s="215" t="s">
        <v>244</v>
      </c>
      <c r="P9" s="216" t="s">
        <v>257</v>
      </c>
      <c r="Q9" s="217">
        <v>1</v>
      </c>
      <c r="S9" s="218">
        <v>4</v>
      </c>
      <c r="T9" s="217">
        <v>2</v>
      </c>
    </row>
    <row r="10" spans="3:20" ht="15">
      <c r="C10" s="215">
        <v>0</v>
      </c>
      <c r="D10" s="213">
        <v>110</v>
      </c>
      <c r="E10" s="213" t="e">
        <f>IF(OR(D7=0,H4="Kg"),0,MIN(INT((D7-IF(LEFT($C$7,1)="S",$D$22,$D$23))/(2*D10)),C10/2))</f>
        <v>#N/A</v>
      </c>
      <c r="F10" s="230">
        <v>0</v>
      </c>
      <c r="G10" s="213">
        <v>50</v>
      </c>
      <c r="H10" s="214" t="e">
        <f>IF(OR(G7=0,H4="Lb"),0,MIN(INT((G7-IF(LEFT($C$7,1)="S",$G$22,$G$23))/(2*G10)),F10/2))</f>
        <v>#N/A</v>
      </c>
      <c r="I10" s="7"/>
      <c r="J10" s="174">
        <f>IF(K9="SHW",1000,IF(K10="",J9+1,IF(ISERROR(VLOOKUP(K9,DATA!$F$32:$G$59,2,FALSE)),K9,VLOOKUP(K9,DATA!$F$32:$G$59,2,FALSE))+0.0001))</f>
        <v>52.0001</v>
      </c>
      <c r="K10" s="224">
        <v>56</v>
      </c>
      <c r="L10" s="225">
        <f>IF(M9="SHW",1000,IF(M10="",L9+1,IF(ISERROR(VLOOKUP(M9,DATA!$F$32:$G$59,2,FALSE)),M9,VLOOKUP(M9,DATA!$F$32:$G$59,2,FALSE))+0.0001))</f>
        <v>44.0001</v>
      </c>
      <c r="M10" s="226">
        <v>48</v>
      </c>
      <c r="O10" s="215" t="s">
        <v>246</v>
      </c>
      <c r="P10" s="216" t="s">
        <v>213</v>
      </c>
      <c r="Q10" s="217">
        <v>1</v>
      </c>
      <c r="S10" s="218">
        <v>5</v>
      </c>
      <c r="T10" s="217">
        <v>1</v>
      </c>
    </row>
    <row r="11" spans="3:20" ht="15">
      <c r="C11" s="215">
        <v>2</v>
      </c>
      <c r="D11" s="213">
        <v>100</v>
      </c>
      <c r="E11" s="213" t="e">
        <f>IF(OR(D7=0,H4="Kg"),0,MIN(INT((D7-IF(LEFT($C$7,1)="S",$D$22,$D$23)-2*E10*D10)/(2*D11)),C11/2))</f>
        <v>#N/A</v>
      </c>
      <c r="F11" s="230">
        <v>0</v>
      </c>
      <c r="G11" s="213">
        <v>45</v>
      </c>
      <c r="H11" s="214" t="e">
        <f>IF(OR(G7=0,H4="Lb"),0,MIN(INT((G7-IF(LEFT($C$7,1)="S",$G$22,$G$23)-2*H10*G10)/(2*G11)),F11/2))</f>
        <v>#N/A</v>
      </c>
      <c r="I11" s="7"/>
      <c r="J11" s="174">
        <f>IF(K10="SHW",1000,IF(K11="",J10+1,IF(ISERROR(VLOOKUP(K10,DATA!$F$32:$G$59,2,FALSE)),K10,VLOOKUP(K10,DATA!$F$32:$G$59,2,FALSE))+0.001))</f>
        <v>56.001</v>
      </c>
      <c r="K11" s="224">
        <v>60</v>
      </c>
      <c r="L11" s="225">
        <f>IF(M10="SHW",1000,IF(M11="",L10+1,IF(ISERROR(VLOOKUP(M10,DATA!$F$32:$G$59,2,FALSE)),M10,VLOOKUP(M10,DATA!$F$32:$G$59,2,FALSE))+0.001))</f>
        <v>48.001</v>
      </c>
      <c r="M11" s="226">
        <v>52</v>
      </c>
      <c r="O11" s="215" t="s">
        <v>245</v>
      </c>
      <c r="P11" s="216" t="s">
        <v>214</v>
      </c>
      <c r="Q11" s="217">
        <v>1</v>
      </c>
      <c r="S11" s="218"/>
      <c r="T11" s="217">
        <v>0</v>
      </c>
    </row>
    <row r="12" spans="3:20" ht="15">
      <c r="C12" s="215">
        <v>0</v>
      </c>
      <c r="D12" s="213">
        <v>50</v>
      </c>
      <c r="E12" s="213" t="e">
        <f>IF(OR(D7=0,H4="Kg"),0,MIN(INT((D7-IF(LEFT($C$7,1)="S",$D$22,$D$23)-2*E10*D10-2*E11*D11)/(2*D12)),C12/2))</f>
        <v>#N/A</v>
      </c>
      <c r="F12" s="230">
        <v>14</v>
      </c>
      <c r="G12" s="213">
        <v>25</v>
      </c>
      <c r="H12" s="214" t="e">
        <f>IF(OR(G7=0,H4="Lb"),0,MIN(INT((G7-IF(LEFT($C$7,1)="S",$G$22,$G$23)-2*H10*G10-2*H11*G11)/(2*G12)),F12/2))</f>
        <v>#N/A</v>
      </c>
      <c r="I12" s="7"/>
      <c r="J12" s="174">
        <f>IF(K11="SHW",1000,IF(K12="",J11+1,IF(ISERROR(VLOOKUP(K11,DATA!$F$32:$G$59,2,FALSE)),K11,VLOOKUP(K11,DATA!$F$32:$G$59,2,FALSE))+0.001))</f>
        <v>60.001</v>
      </c>
      <c r="K12" s="224">
        <v>67.5</v>
      </c>
      <c r="L12" s="225">
        <f>IF(M11="SHW",1000,IF(M12="",L11+1,IF(ISERROR(VLOOKUP(M11,DATA!$F$32:$G$59,2,FALSE)),M11,VLOOKUP(M11,DATA!$F$32:$G$59,2,FALSE))+0.001))</f>
        <v>52.001</v>
      </c>
      <c r="M12" s="226">
        <v>56</v>
      </c>
      <c r="O12" s="215" t="s">
        <v>247</v>
      </c>
      <c r="P12" s="216" t="s">
        <v>215</v>
      </c>
      <c r="Q12" s="217">
        <v>1</v>
      </c>
      <c r="S12" s="218"/>
      <c r="T12" s="217">
        <v>0</v>
      </c>
    </row>
    <row r="13" spans="3:20" ht="15">
      <c r="C13" s="215">
        <v>6</v>
      </c>
      <c r="D13" s="213">
        <v>45</v>
      </c>
      <c r="E13" s="213" t="e">
        <f>IF(OR(D7=0,H4="Kg"),0,MIN(INT((D7-IF(LEFT($C$7,1)="S",$D$22,$D$23)-2*E10*D10-2*E11*D11-2*E12*D12)/(2*D13)),C13/2))</f>
        <v>#N/A</v>
      </c>
      <c r="F13" s="230">
        <v>4</v>
      </c>
      <c r="G13" s="213">
        <v>20</v>
      </c>
      <c r="H13" s="214" t="e">
        <f>IF(OR(G7=0,H4="Lb"),0,MIN(INT((G7-IF(LEFT($C$7,1)="S",$G$22,$G$23)-2*H10*G10-2*H11*G11-2*H12*G12)/(2*G13)),F13/2))</f>
        <v>#N/A</v>
      </c>
      <c r="I13" s="7"/>
      <c r="J13" s="174">
        <f>IF(K12="SHW",1000,IF(K13="",J12+1,IF(ISERROR(VLOOKUP(K12,DATA!$F$32:$G$59,2,FALSE)),K12,VLOOKUP(K12,DATA!$F$32:$G$59,2,FALSE))+0.001))</f>
        <v>67.501</v>
      </c>
      <c r="K13" s="224">
        <v>75</v>
      </c>
      <c r="L13" s="225">
        <f>IF(M12="SHW",1000,IF(M13="",L12+1,IF(ISERROR(VLOOKUP(M12,DATA!$F$32:$G$59,2,FALSE)),M12,VLOOKUP(M12,DATA!$F$32:$G$59,2,FALSE))+0.001))</f>
        <v>56.001</v>
      </c>
      <c r="M13" s="226">
        <v>60</v>
      </c>
      <c r="O13" s="215" t="s">
        <v>248</v>
      </c>
      <c r="P13" s="216" t="s">
        <v>216</v>
      </c>
      <c r="Q13" s="217">
        <v>1</v>
      </c>
      <c r="S13" s="218"/>
      <c r="T13" s="217">
        <v>0</v>
      </c>
    </row>
    <row r="14" spans="3:20" ht="15">
      <c r="C14" s="215">
        <v>4</v>
      </c>
      <c r="D14" s="213">
        <v>35</v>
      </c>
      <c r="E14" s="213" t="e">
        <f>IF(OR(D7=0,H4="Kg"),0,MIN(INT((D7-IF(LEFT($C$7,1)="S",$D$22,$D$23)-2*E10*D10-2*E11*D11-2*E12*D12-2*E13*D13)/(2*D14)),C14/2))</f>
        <v>#N/A</v>
      </c>
      <c r="F14" s="230">
        <v>2</v>
      </c>
      <c r="G14" s="213">
        <v>15</v>
      </c>
      <c r="H14" s="214" t="e">
        <f>IF(OR(G7=0,H4="Lb"),0,MIN(INT((G7-IF(LEFT($C$7,1)="S",$G$22,$G$23)-2*H10*G10-2*H11*G11-2*H12*G12-2*H13*G13)/(2*G14)),F14/2))</f>
        <v>#N/A</v>
      </c>
      <c r="I14" s="7"/>
      <c r="J14" s="174">
        <f>IF(K13="SHW",1000,IF(K14="",J13+1,IF(ISERROR(VLOOKUP(K13,DATA!$F$32:$G$59,2,FALSE)),K13,VLOOKUP(K13,DATA!$F$32:$G$59,2,FALSE))+0.001))</f>
        <v>75.001</v>
      </c>
      <c r="K14" s="224">
        <v>82.5</v>
      </c>
      <c r="L14" s="225">
        <f>IF(M13="SHW",1000,IF(M14="",L13+1,IF(ISERROR(VLOOKUP(M13,DATA!$F$32:$G$59,2,FALSE)),M13,VLOOKUP(M13,DATA!$F$32:$G$59,2,FALSE))+0.001))</f>
        <v>60.001</v>
      </c>
      <c r="M14" s="226">
        <v>67.5</v>
      </c>
      <c r="O14" s="215" t="s">
        <v>249</v>
      </c>
      <c r="P14" s="216" t="s">
        <v>217</v>
      </c>
      <c r="Q14" s="217">
        <v>1</v>
      </c>
      <c r="S14" s="218"/>
      <c r="T14" s="217">
        <v>0</v>
      </c>
    </row>
    <row r="15" spans="3:20" ht="15.75" thickBot="1">
      <c r="C15" s="215">
        <v>2</v>
      </c>
      <c r="D15" s="213">
        <v>25</v>
      </c>
      <c r="E15" s="213" t="e">
        <f>IF(OR(D7=0,H4="Kg"),0,MIN(INT((D7-IF(LEFT($C$7,1)="S",$D$22,$D$23)-2*E10*D10-2*E11*D11-2*E12*D12-2*E13*D13-2*E14*D14)/(2*D15)),C15/2))</f>
        <v>#N/A</v>
      </c>
      <c r="F15" s="230">
        <v>2</v>
      </c>
      <c r="G15" s="213">
        <v>10</v>
      </c>
      <c r="H15" s="214" t="e">
        <f>IF(OR(G7=0,H4="Lb"),0,MIN(INT((G7-IF(LEFT($C$7,1)="S",$G$22,$G$23)-2*H10*G10-2*H11*G11-2*H12*G12-2*H13*G13-2*H14*G14)/(2*G15)),F15/2))</f>
        <v>#N/A</v>
      </c>
      <c r="I15" s="7"/>
      <c r="J15" s="174">
        <f>IF(K14="SHW",1000,IF(K15="",J14+1,IF(ISERROR(VLOOKUP(K14,DATA!$F$32:$G$59,2,FALSE)),K14,VLOOKUP(K14,DATA!$F$32:$G$59,2,FALSE))+0.001))</f>
        <v>82.501</v>
      </c>
      <c r="K15" s="224">
        <v>90</v>
      </c>
      <c r="L15" s="225">
        <f>IF(M14="SHW",1000,IF(M15="",L14+1,IF(ISERROR(VLOOKUP(M14,DATA!$F$32:$G$59,2,FALSE)),M14,VLOOKUP(M14,DATA!$F$32:$G$59,2,FALSE))+0.001))</f>
        <v>67.501</v>
      </c>
      <c r="M15" s="226">
        <v>75</v>
      </c>
      <c r="O15" s="215" t="s">
        <v>250</v>
      </c>
      <c r="P15" s="216" t="s">
        <v>218</v>
      </c>
      <c r="Q15" s="217">
        <v>1</v>
      </c>
      <c r="S15" s="219"/>
      <c r="T15" s="220">
        <v>0</v>
      </c>
    </row>
    <row r="16" spans="3:17" ht="15">
      <c r="C16" s="215">
        <v>6</v>
      </c>
      <c r="D16" s="213">
        <v>10</v>
      </c>
      <c r="E16" s="213" t="e">
        <f>IF(OR(D7=0,H4="Kg"),0,MIN(INT((D7-IF(LEFT($C$7,1)="S",$D$22,$D$23)-2*E10*D10-2*E11*D11-2*E12*D12-2*E13*D13-2*E14*D14-2*E15*D15)/(2*D16)),C16/2))</f>
        <v>#N/A</v>
      </c>
      <c r="F16" s="230">
        <v>2</v>
      </c>
      <c r="G16" s="213">
        <v>5</v>
      </c>
      <c r="H16" s="214" t="e">
        <f>IF(OR(G7=0,H4="Lb"),0,MIN(INT((G7-IF(LEFT($C$7,1)="S",$G$22,$G$23)-2*H10*G10-2*H11*G11-2*H12*G12-2*H13*G13-2*H14*G14-2*H15*G15)/(2*G16)),F16/2))</f>
        <v>#N/A</v>
      </c>
      <c r="I16" s="7"/>
      <c r="J16" s="174">
        <f>IF(K15="SHW",1000,IF(K16="",J15+1,IF(ISERROR(VLOOKUP(K15,DATA!$F$32:$G$59,2,FALSE)),K15,VLOOKUP(K15,DATA!$F$32:$G$59,2,FALSE))+0.001))</f>
        <v>90.001</v>
      </c>
      <c r="K16" s="224">
        <v>100</v>
      </c>
      <c r="L16" s="225">
        <f>IF(M15="SHW",1000,IF(M16="",L15+1,IF(ISERROR(VLOOKUP(M15,DATA!$F$32:$G$59,2,FALSE)),M15,VLOOKUP(M15,DATA!$F$32:$G$59,2,FALSE))+0.001))</f>
        <v>75.001</v>
      </c>
      <c r="M16" s="226">
        <v>82.5</v>
      </c>
      <c r="O16" s="215" t="s">
        <v>251</v>
      </c>
      <c r="P16" s="216" t="s">
        <v>219</v>
      </c>
      <c r="Q16" s="217">
        <v>1</v>
      </c>
    </row>
    <row r="17" spans="3:17" ht="15">
      <c r="C17" s="215">
        <v>4</v>
      </c>
      <c r="D17" s="213">
        <v>5</v>
      </c>
      <c r="E17" s="213" t="e">
        <f>IF(OR(D7=0,H4="Kg"),0,MIN(INT((D7-IF(LEFT($C$7,1)="S",$D$22,$D$23)-2*E10*D10-2*E11*D11-2*E12*D12-2*E13*D13-2*E14*D14-2*E15*D15-2*E16*D16)/(2*D17)),C17/2))</f>
        <v>#N/A</v>
      </c>
      <c r="F17" s="230">
        <v>2</v>
      </c>
      <c r="G17" s="213">
        <v>2.5</v>
      </c>
      <c r="H17" s="214" t="e">
        <f>IF(OR(G7=0,H4="Lb"),0,MIN(INT((G7-IF(LEFT($C$7,1)="S",$G$22,$G$23)-2*H10*G10-2*H11*G11-2*H12*G12-2*H13*G13-2*H14*G14-2*H15*G15-2*H16*G16)/(2*G17)),F17/2))</f>
        <v>#N/A</v>
      </c>
      <c r="I17" s="7"/>
      <c r="J17" s="174">
        <f>IF(K16="SHW",1000,IF(K17="",J16+1,IF(ISERROR(VLOOKUP(K16,DATA!$F$32:$G$59,2,FALSE)),K16,VLOOKUP(K16,DATA!$F$32:$G$59,2,FALSE))+0.001))</f>
        <v>100.001</v>
      </c>
      <c r="K17" s="224">
        <v>110</v>
      </c>
      <c r="L17" s="225">
        <f>IF(M16="SHW",1000,IF(M17="",L16+1,IF(ISERROR(VLOOKUP(M16,DATA!$F$32:$G$59,2,FALSE)),M16,VLOOKUP(M16,DATA!$F$32:$G$59,2,FALSE))+0.001))</f>
        <v>82.501</v>
      </c>
      <c r="M17" s="226">
        <v>90</v>
      </c>
      <c r="O17" s="215" t="s">
        <v>252</v>
      </c>
      <c r="P17" s="216" t="s">
        <v>220</v>
      </c>
      <c r="Q17" s="217">
        <v>1</v>
      </c>
    </row>
    <row r="18" spans="3:17" ht="15">
      <c r="C18" s="215">
        <v>4</v>
      </c>
      <c r="D18" s="213">
        <v>2.5</v>
      </c>
      <c r="E18" s="213" t="e">
        <f>IF(OR(D7=0,H4="Kg"),0,MIN(INT((D7-IF(LEFT($C$7,1)="S",$D$22,$D$23)-2*E10*D10-2*E11*D11-2*E12*D12-2*E13*D13-2*E14*D14-2*E15*D15-2*E16*D16-2*E17*D17)/(2*D18)),C18/2))</f>
        <v>#N/A</v>
      </c>
      <c r="F18" s="230">
        <v>2</v>
      </c>
      <c r="G18" s="213">
        <v>1.25</v>
      </c>
      <c r="H18" s="214" t="e">
        <f>IF(OR(G7=0,H4="Lb"),0,INT((G7-IF(LEFT($C$7,1)="S",$G$22,$G$23)-2*H10*G10-2*H11*G11-2*H12*G12-2*H13*G13-2*H14*G14-2*H15*G15-2*H16*G16-2*H17*G17)/(2*G18)))</f>
        <v>#N/A</v>
      </c>
      <c r="I18" s="7"/>
      <c r="J18" s="174">
        <f>IF(K17="SHW",1000,IF(K18="",J17+1,IF(ISERROR(VLOOKUP(K17,DATA!$F$32:$G$59,2,FALSE)),K17,VLOOKUP(K17,DATA!$F$32:$G$59,2,FALSE))+0.001))</f>
        <v>110.001</v>
      </c>
      <c r="K18" s="224">
        <v>125</v>
      </c>
      <c r="L18" s="225">
        <f>IF(M17="SHW",1000,IF(M18="",L17+1,IF(ISERROR(VLOOKUP(M17,DATA!$F$32:$G$59,2,FALSE)),M17,VLOOKUP(M17,DATA!$F$32:$G$59,2,FALSE))+0.001))</f>
        <v>90.001</v>
      </c>
      <c r="M18" s="226" t="s">
        <v>212</v>
      </c>
      <c r="O18" s="215" t="s">
        <v>253</v>
      </c>
      <c r="P18" s="216" t="s">
        <v>221</v>
      </c>
      <c r="Q18" s="217">
        <v>1</v>
      </c>
    </row>
    <row r="19" spans="3:17" ht="15">
      <c r="C19" s="215">
        <v>0</v>
      </c>
      <c r="D19" s="213">
        <v>1</v>
      </c>
      <c r="E19" s="213" t="e">
        <f>IF(OR(D7=0,H4="Kg"),0,MIN(INT((D7-IF(LEFT($C$7,1)="S",$D$22,$D$23)-2*E10*D10-2*E11*D11-2*E12*D12-2*E13*D13-2*E14*D14-2*E15*D15-2*E16*D16-2*E17*D17-2*E18*D18)/(2*D19)),C19/2))</f>
        <v>#N/A</v>
      </c>
      <c r="F19" s="230">
        <v>4</v>
      </c>
      <c r="G19" s="213">
        <v>0.5</v>
      </c>
      <c r="H19" s="214" t="e">
        <f>IF(OR(G7=0,H4="Lb"),0,INT((G7-IF(LEFT($C$7,1)="S",$G$22,$G$23)-2*H10*G10-2*H11*G11-2*H12*G12-2*H13*G13-2*H14*G14-2*H15*G15-2*H16*G16-2*H17*G17-2*H18*G18)/(2*G19)))</f>
        <v>#N/A</v>
      </c>
      <c r="I19" s="7"/>
      <c r="J19" s="174">
        <f>IF(K18="SHW",1000,IF(K19="",J18+1,IF(ISERROR(VLOOKUP(K18,DATA!$F$32:$G$59,2,FALSE)),K18,VLOOKUP(K18,DATA!$F$32:$G$59,2,FALSE))+0.001))</f>
        <v>125.001</v>
      </c>
      <c r="K19" s="224">
        <v>140</v>
      </c>
      <c r="L19" s="225">
        <f>IF(M18="SHW",1000,IF(M19="",L18+1,IF(ISERROR(VLOOKUP(M18,DATA!$F$32:$G$59,2,FALSE)),M18,VLOOKUP(M18,DATA!$F$32:$G$59,2,FALSE))+0.001))</f>
        <v>91.001</v>
      </c>
      <c r="M19" s="227"/>
      <c r="O19" s="215" t="s">
        <v>254</v>
      </c>
      <c r="P19" s="216" t="s">
        <v>222</v>
      </c>
      <c r="Q19" s="217">
        <v>1</v>
      </c>
    </row>
    <row r="20" spans="3:17" ht="15">
      <c r="C20" s="215">
        <v>0</v>
      </c>
      <c r="D20" s="213">
        <v>0.5</v>
      </c>
      <c r="E20" s="213" t="e">
        <f>IF(OR(D7=0,H4="Kg"),0,MIN(INT((D7-IF(LEFT($C$7,1)="S",$D$22,$D$23)-2*E10*D10-2*E11*D11-2*E12*D12-2*E13*D13-2*E14*D14-2*E15*D15-2*E16*D16-2*E17*D17-2*E18*D18-2*E19*D19)/(2*D20)),C20/2))</f>
        <v>#N/A</v>
      </c>
      <c r="F20" s="230">
        <v>2</v>
      </c>
      <c r="G20" s="213">
        <v>0.25</v>
      </c>
      <c r="H20" s="214" t="e">
        <f>IF(OR(G7=0,H4="Lb"),0,INT((G7-IF(LEFT($C$7,1)="S",$G$22,$G$23)-2*H10*G10-2*H11*G11-2*H12*G12-2*H13*G13-2*H14*G14-2*H15*G15-2*H16*G16-2*H17*G17-2*H18*G18-2*H19*G19)/(2*G20)))</f>
        <v>#N/A</v>
      </c>
      <c r="I20" s="7"/>
      <c r="J20" s="174">
        <f>IF(K19="SHW",1000,IF(K20="",J19+1,IF(ISERROR(VLOOKUP(K19,DATA!$F$32:$G$59,2,FALSE)),K19,VLOOKUP(K19,DATA!$F$32:$G$59,2,FALSE))+0.001))</f>
        <v>140.001</v>
      </c>
      <c r="K20" s="224" t="s">
        <v>211</v>
      </c>
      <c r="L20" s="225">
        <f>IF(M19="SHW",1000,IF(M20="",L19+1,IF(ISERROR(VLOOKUP(M19,DATA!$F$32:$G$59,2,FALSE)),M19,VLOOKUP(M19,DATA!$F$32:$G$59,2,FALSE))+0.001))</f>
        <v>92.001</v>
      </c>
      <c r="M20" s="227"/>
      <c r="O20" s="215" t="s">
        <v>258</v>
      </c>
      <c r="P20" s="216" t="s">
        <v>224</v>
      </c>
      <c r="Q20" s="217">
        <v>1</v>
      </c>
    </row>
    <row r="21" spans="3:17" ht="15">
      <c r="C21" s="282" t="s">
        <v>81</v>
      </c>
      <c r="D21" s="283"/>
      <c r="E21" s="213">
        <v>1</v>
      </c>
      <c r="F21" s="283" t="s">
        <v>81</v>
      </c>
      <c r="G21" s="283"/>
      <c r="H21" s="214">
        <v>1</v>
      </c>
      <c r="I21" s="7"/>
      <c r="J21" s="174">
        <f>IF(K20="SHW",1000,IF(K21="",J20+1,IF(ISERROR(VLOOKUP(K20,DATA!$F$32:$G$59,2,FALSE)),K20,VLOOKUP(K20,DATA!$F$32:$G$59,2,FALSE))+0.001))</f>
        <v>141.001</v>
      </c>
      <c r="K21" s="228"/>
      <c r="L21" s="225">
        <f>IF(M20="SHW",1000,IF(M21="",L20+1,IF(ISERROR(VLOOKUP(M20,DATA!$F$32:$G$59,2,FALSE)),M20,VLOOKUP(M20,DATA!$F$32:$G$59,2,FALSE))+0.001))</f>
        <v>93.001</v>
      </c>
      <c r="M21" s="227"/>
      <c r="O21" s="215" t="s">
        <v>259</v>
      </c>
      <c r="P21" s="216" t="s">
        <v>225</v>
      </c>
      <c r="Q21" s="217">
        <v>1</v>
      </c>
    </row>
    <row r="22" spans="3:17" ht="15">
      <c r="C22" s="212" t="s">
        <v>79</v>
      </c>
      <c r="D22" s="231">
        <v>65</v>
      </c>
      <c r="E22" s="308" t="s">
        <v>62</v>
      </c>
      <c r="F22" s="213" t="s">
        <v>79</v>
      </c>
      <c r="G22" s="232">
        <v>30</v>
      </c>
      <c r="H22" s="312" t="s">
        <v>76</v>
      </c>
      <c r="I22" s="7"/>
      <c r="J22" s="174">
        <f>IF(K21="SHW",1000,IF(K22="",J21+1,IF(ISERROR(VLOOKUP(K21,DATA!$F$32:$G$59,2,FALSE)),K21,VLOOKUP(K21,DATA!$F$32:$G$59,2,FALSE))+0.001))</f>
        <v>142.001</v>
      </c>
      <c r="K22" s="228"/>
      <c r="L22" s="225">
        <f>IF(M21="SHW",1000,IF(M22="",L21+1,IF(ISERROR(VLOOKUP(M21,DATA!$F$32:$G$59,2,FALSE)),M21,VLOOKUP(M21,DATA!$F$32:$G$59,2,FALSE))+0.001))</f>
        <v>94.001</v>
      </c>
      <c r="M22" s="227"/>
      <c r="O22" s="215" t="s">
        <v>260</v>
      </c>
      <c r="P22" s="216" t="s">
        <v>226</v>
      </c>
      <c r="Q22" s="217">
        <v>1</v>
      </c>
    </row>
    <row r="23" spans="3:17" ht="15.75" thickBot="1">
      <c r="C23" s="233" t="s">
        <v>80</v>
      </c>
      <c r="D23" s="234">
        <v>55</v>
      </c>
      <c r="E23" s="309"/>
      <c r="F23" s="235" t="s">
        <v>80</v>
      </c>
      <c r="G23" s="236">
        <v>25</v>
      </c>
      <c r="H23" s="313"/>
      <c r="I23" s="7"/>
      <c r="J23" s="174">
        <f>IF(K22="SHW",1000,IF(K23="",J22+1,IF(ISERROR(VLOOKUP(K22,DATA!$F$32:$G$59,2,FALSE)),K22,VLOOKUP(K22,DATA!$F$32:$G$59,2,FALSE))+0.001))</f>
        <v>143.001</v>
      </c>
      <c r="K23" s="175"/>
      <c r="L23" s="174">
        <f>IF(M22="SHW",1000,IF(M23="",L22+1,IF(ISERROR(VLOOKUP(M22,DATA!$F$32:$G$59,2,FALSE)),M22,VLOOKUP(M22,DATA!$F$32:$G$59,2,FALSE))+0.001))</f>
        <v>95.001</v>
      </c>
      <c r="M23" s="176"/>
      <c r="O23" s="215" t="s">
        <v>261</v>
      </c>
      <c r="P23" s="216" t="s">
        <v>231</v>
      </c>
      <c r="Q23" s="217">
        <v>1</v>
      </c>
    </row>
    <row r="24" spans="8:17" ht="15.75" thickBot="1">
      <c r="H24" s="9"/>
      <c r="I24" s="7"/>
      <c r="O24" s="215" t="s">
        <v>262</v>
      </c>
      <c r="P24" s="216" t="s">
        <v>227</v>
      </c>
      <c r="Q24" s="217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5" t="s">
        <v>263</v>
      </c>
      <c r="P25" s="216" t="s">
        <v>228</v>
      </c>
      <c r="Q25" s="217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5" t="s">
        <v>264</v>
      </c>
      <c r="P26" s="216" t="s">
        <v>229</v>
      </c>
      <c r="Q26" s="217">
        <v>1</v>
      </c>
    </row>
    <row r="27" spans="8:17" ht="15.75" thickBot="1">
      <c r="H27" s="9"/>
      <c r="I27" s="7"/>
      <c r="O27" s="215" t="s">
        <v>265</v>
      </c>
      <c r="P27" s="216" t="s">
        <v>230</v>
      </c>
      <c r="Q27" s="217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5" t="s">
        <v>266</v>
      </c>
      <c r="P28" s="216" t="s">
        <v>232</v>
      </c>
      <c r="Q28" s="217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5" t="s">
        <v>267</v>
      </c>
      <c r="P29" s="216" t="s">
        <v>233</v>
      </c>
      <c r="Q29" s="217">
        <v>1</v>
      </c>
    </row>
    <row r="30" spans="8:17" ht="15">
      <c r="H30" s="9"/>
      <c r="I30" s="7"/>
      <c r="K30" s="314" t="s">
        <v>210</v>
      </c>
      <c r="L30" s="315"/>
      <c r="M30" s="316"/>
      <c r="O30" s="215" t="s">
        <v>268</v>
      </c>
      <c r="P30" s="216" t="s">
        <v>234</v>
      </c>
      <c r="Q30" s="217">
        <v>1</v>
      </c>
    </row>
    <row r="31" spans="11:17" ht="15">
      <c r="K31" s="317"/>
      <c r="L31" s="318"/>
      <c r="M31" s="319"/>
      <c r="O31" s="215" t="s">
        <v>269</v>
      </c>
      <c r="P31" s="216" t="s">
        <v>235</v>
      </c>
      <c r="Q31" s="217">
        <v>1</v>
      </c>
    </row>
    <row r="32" spans="15:17" ht="15.75" thickBot="1">
      <c r="O32" s="215" t="s">
        <v>270</v>
      </c>
      <c r="P32" s="216" t="s">
        <v>236</v>
      </c>
      <c r="Q32" s="217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5" t="s">
        <v>271</v>
      </c>
      <c r="P33" s="216" t="s">
        <v>237</v>
      </c>
      <c r="Q33" s="217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7" t="s">
        <v>240</v>
      </c>
      <c r="P34" s="238" t="s">
        <v>238</v>
      </c>
      <c r="Q34" s="239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7" t="s">
        <v>241</v>
      </c>
      <c r="P35" s="238" t="s">
        <v>239</v>
      </c>
      <c r="Q35" s="239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1"/>
      <c r="D38" s="210"/>
      <c r="E38" s="276" t="s">
        <v>201</v>
      </c>
      <c r="F38" s="277"/>
      <c r="G38" s="209"/>
      <c r="H38" s="209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3"/>
  <sheetViews>
    <sheetView showZeros="0" tabSelected="1" zoomScalePageLayoutView="0" workbookViewId="0" topLeftCell="C1">
      <pane ySplit="2" topLeftCell="A23" activePane="bottomLeft" state="frozen"/>
      <selection pane="topLeft" activeCell="B1" sqref="B1"/>
      <selection pane="bottomLeft" activeCell="C30" sqref="C3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6.574218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5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  <c r="BC1" s="2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265" t="s">
        <v>21</v>
      </c>
      <c r="AB2" s="268" t="str">
        <f>Lifting!AB8</f>
        <v>PL Total</v>
      </c>
      <c r="AC2" s="266" t="s">
        <v>134</v>
      </c>
      <c r="AD2" s="160" t="s">
        <v>139</v>
      </c>
      <c r="AE2" s="160" t="s">
        <v>144</v>
      </c>
      <c r="AF2" s="160" t="s">
        <v>31</v>
      </c>
      <c r="AG2" s="160" t="s">
        <v>38</v>
      </c>
      <c r="AH2" s="160" t="s">
        <v>45</v>
      </c>
      <c r="AI2" s="161" t="s">
        <v>145</v>
      </c>
    </row>
    <row r="3" spans="2:35" s="245" customFormat="1" ht="14.25" customHeight="1">
      <c r="B3" s="241"/>
      <c r="C3" s="240" t="s">
        <v>292</v>
      </c>
      <c r="D3" s="241" t="s">
        <v>276</v>
      </c>
      <c r="E3" s="241" t="s">
        <v>287</v>
      </c>
      <c r="F3" s="241">
        <v>53.7</v>
      </c>
      <c r="G3" s="241">
        <v>56</v>
      </c>
      <c r="H3" s="242" t="s">
        <v>275</v>
      </c>
      <c r="I3" s="241"/>
      <c r="J3" s="241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41"/>
      <c r="V3" s="241"/>
      <c r="W3" s="241">
        <v>85</v>
      </c>
      <c r="X3" s="254">
        <v>95</v>
      </c>
      <c r="Y3" s="254">
        <v>100</v>
      </c>
      <c r="Z3" s="244">
        <v>105</v>
      </c>
      <c r="AA3" s="241"/>
      <c r="AB3" s="246"/>
      <c r="AC3" s="247">
        <v>121.59</v>
      </c>
      <c r="AD3" s="247"/>
      <c r="AE3" s="248"/>
      <c r="AF3" s="248"/>
      <c r="AG3" s="247"/>
      <c r="AH3" s="247"/>
      <c r="AI3" s="249"/>
    </row>
    <row r="4" spans="2:35" ht="14.25" customHeight="1">
      <c r="B4" s="49"/>
      <c r="C4" s="240" t="s">
        <v>288</v>
      </c>
      <c r="D4" s="241" t="s">
        <v>276</v>
      </c>
      <c r="E4" s="241" t="s">
        <v>287</v>
      </c>
      <c r="F4" s="241">
        <v>50.5</v>
      </c>
      <c r="G4" s="241">
        <v>52</v>
      </c>
      <c r="H4" s="242" t="s">
        <v>275</v>
      </c>
      <c r="I4" s="241"/>
      <c r="J4" s="241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41"/>
      <c r="V4" s="241"/>
      <c r="W4" s="241">
        <v>100</v>
      </c>
      <c r="X4" s="241">
        <v>115</v>
      </c>
      <c r="Y4" s="255">
        <v>125</v>
      </c>
      <c r="Z4" s="241"/>
      <c r="AA4" s="241"/>
      <c r="AB4" s="246"/>
      <c r="AC4" s="247">
        <v>126.52</v>
      </c>
      <c r="AD4" s="247"/>
      <c r="AE4" s="105"/>
      <c r="AF4" s="105"/>
      <c r="AG4" s="57"/>
      <c r="AH4" s="57"/>
      <c r="AI4" s="51"/>
    </row>
    <row r="5" spans="2:35" s="245" customFormat="1" ht="14.25" customHeight="1">
      <c r="B5" s="241"/>
      <c r="C5" s="240" t="s">
        <v>297</v>
      </c>
      <c r="D5" s="241" t="s">
        <v>276</v>
      </c>
      <c r="E5" s="241" t="s">
        <v>273</v>
      </c>
      <c r="F5" s="241">
        <v>87.4</v>
      </c>
      <c r="G5" s="241">
        <v>90</v>
      </c>
      <c r="H5" s="242" t="s">
        <v>275</v>
      </c>
      <c r="I5" s="241"/>
      <c r="J5" s="241"/>
      <c r="K5" s="263"/>
      <c r="L5" s="264"/>
      <c r="M5" s="263"/>
      <c r="N5" s="263"/>
      <c r="O5" s="263"/>
      <c r="P5" s="263"/>
      <c r="Q5" s="264"/>
      <c r="R5" s="264"/>
      <c r="S5" s="263"/>
      <c r="T5" s="263"/>
      <c r="U5" s="241"/>
      <c r="V5" s="241"/>
      <c r="W5" s="254">
        <v>220</v>
      </c>
      <c r="X5" s="254">
        <v>240</v>
      </c>
      <c r="Y5" s="244">
        <v>260</v>
      </c>
      <c r="Z5" s="241"/>
      <c r="AA5" s="241"/>
      <c r="AB5" s="246"/>
      <c r="AC5" s="247">
        <v>155.59</v>
      </c>
      <c r="AD5" s="247"/>
      <c r="AE5" s="248"/>
      <c r="AF5" s="248"/>
      <c r="AG5" s="247"/>
      <c r="AH5" s="247"/>
      <c r="AI5" s="249"/>
    </row>
    <row r="6" spans="2:35" s="245" customFormat="1" ht="14.25" customHeight="1">
      <c r="B6" s="241"/>
      <c r="C6" s="240" t="s">
        <v>300</v>
      </c>
      <c r="D6" s="241" t="s">
        <v>277</v>
      </c>
      <c r="E6" s="241" t="s">
        <v>272</v>
      </c>
      <c r="F6" s="241">
        <v>50.7</v>
      </c>
      <c r="G6" s="241">
        <v>56</v>
      </c>
      <c r="H6" s="242" t="s">
        <v>275</v>
      </c>
      <c r="I6" s="241"/>
      <c r="J6" s="241"/>
      <c r="K6" s="263"/>
      <c r="L6" s="263"/>
      <c r="M6" s="263"/>
      <c r="N6" s="263"/>
      <c r="O6" s="263"/>
      <c r="P6" s="263"/>
      <c r="Q6" s="264"/>
      <c r="R6" s="263"/>
      <c r="S6" s="264"/>
      <c r="T6" s="263"/>
      <c r="U6" s="241"/>
      <c r="V6" s="241"/>
      <c r="W6" s="241">
        <v>55</v>
      </c>
      <c r="X6" s="254">
        <v>65</v>
      </c>
      <c r="Y6" s="254">
        <v>72.5</v>
      </c>
      <c r="Z6" s="254">
        <v>77.5</v>
      </c>
      <c r="AA6" s="241"/>
      <c r="AB6" s="267"/>
      <c r="AC6" s="247">
        <v>94.23</v>
      </c>
      <c r="AD6" s="247"/>
      <c r="AE6" s="248"/>
      <c r="AF6" s="248"/>
      <c r="AG6" s="247"/>
      <c r="AH6" s="247"/>
      <c r="AI6" s="249"/>
    </row>
    <row r="7" spans="2:35" s="245" customFormat="1" ht="14.25" customHeight="1">
      <c r="B7" s="241"/>
      <c r="C7" s="240" t="s">
        <v>296</v>
      </c>
      <c r="D7" s="241" t="s">
        <v>276</v>
      </c>
      <c r="E7" s="241" t="s">
        <v>272</v>
      </c>
      <c r="F7" s="241">
        <v>61.7</v>
      </c>
      <c r="G7" s="241">
        <v>67.5</v>
      </c>
      <c r="H7" s="242" t="s">
        <v>275</v>
      </c>
      <c r="I7" s="241"/>
      <c r="J7" s="241"/>
      <c r="K7" s="263"/>
      <c r="L7" s="263"/>
      <c r="M7" s="264"/>
      <c r="N7" s="263"/>
      <c r="O7" s="263"/>
      <c r="P7" s="263"/>
      <c r="Q7" s="263"/>
      <c r="R7" s="263"/>
      <c r="S7" s="263"/>
      <c r="T7" s="263"/>
      <c r="U7" s="241"/>
      <c r="V7" s="241"/>
      <c r="W7" s="241">
        <v>130</v>
      </c>
      <c r="X7" s="254">
        <v>140</v>
      </c>
      <c r="Y7" s="256"/>
      <c r="Z7" s="241"/>
      <c r="AA7" s="241"/>
      <c r="AB7" s="246"/>
      <c r="AC7" s="247">
        <v>152.75</v>
      </c>
      <c r="AD7" s="247"/>
      <c r="AE7" s="248"/>
      <c r="AF7" s="248"/>
      <c r="AG7" s="247"/>
      <c r="AH7" s="247"/>
      <c r="AI7" s="249"/>
    </row>
    <row r="8" spans="2:35" s="245" customFormat="1" ht="14.25" customHeight="1">
      <c r="B8" s="241"/>
      <c r="C8" s="240" t="s">
        <v>290</v>
      </c>
      <c r="D8" s="241" t="s">
        <v>276</v>
      </c>
      <c r="E8" s="241" t="s">
        <v>323</v>
      </c>
      <c r="F8" s="241">
        <v>100.6</v>
      </c>
      <c r="G8" s="241">
        <v>110</v>
      </c>
      <c r="H8" s="242" t="s">
        <v>275</v>
      </c>
      <c r="I8" s="241"/>
      <c r="J8" s="241"/>
      <c r="K8" s="263"/>
      <c r="L8" s="263"/>
      <c r="M8" s="264"/>
      <c r="N8" s="263"/>
      <c r="O8" s="263"/>
      <c r="P8" s="263"/>
      <c r="Q8" s="263"/>
      <c r="R8" s="264"/>
      <c r="S8" s="264"/>
      <c r="T8" s="263"/>
      <c r="U8" s="241"/>
      <c r="V8" s="241"/>
      <c r="W8" s="254">
        <v>180</v>
      </c>
      <c r="X8" s="254">
        <v>190</v>
      </c>
      <c r="Y8" s="244">
        <v>200</v>
      </c>
      <c r="Z8" s="241"/>
      <c r="AA8" s="241"/>
      <c r="AB8" s="246"/>
      <c r="AC8" s="247">
        <v>157.9</v>
      </c>
      <c r="AD8" s="247"/>
      <c r="AE8" s="248"/>
      <c r="AF8" s="248"/>
      <c r="AG8" s="247"/>
      <c r="AH8" s="247"/>
      <c r="AI8" s="249"/>
    </row>
    <row r="9" spans="2:35" s="245" customFormat="1" ht="14.25" customHeight="1">
      <c r="B9" s="241"/>
      <c r="C9" s="240" t="s">
        <v>295</v>
      </c>
      <c r="D9" s="241" t="s">
        <v>276</v>
      </c>
      <c r="E9" s="241" t="s">
        <v>274</v>
      </c>
      <c r="F9" s="241">
        <v>90.1</v>
      </c>
      <c r="G9" s="241">
        <v>100</v>
      </c>
      <c r="H9" s="242" t="s">
        <v>275</v>
      </c>
      <c r="I9" s="241"/>
      <c r="J9" s="241"/>
      <c r="K9" s="264"/>
      <c r="L9" s="263"/>
      <c r="M9" s="263"/>
      <c r="N9" s="263"/>
      <c r="O9" s="263"/>
      <c r="P9" s="263"/>
      <c r="Q9" s="264"/>
      <c r="R9" s="263"/>
      <c r="S9" s="264"/>
      <c r="T9" s="263"/>
      <c r="U9" s="241"/>
      <c r="V9" s="241"/>
      <c r="W9" s="241">
        <v>200</v>
      </c>
      <c r="X9" s="254">
        <v>215</v>
      </c>
      <c r="Y9" s="254">
        <v>225</v>
      </c>
      <c r="Z9" s="244">
        <v>230</v>
      </c>
      <c r="AA9" s="241"/>
      <c r="AB9" s="246"/>
      <c r="AC9" s="247">
        <v>143.55</v>
      </c>
      <c r="AD9" s="247"/>
      <c r="AE9" s="248"/>
      <c r="AF9" s="248"/>
      <c r="AG9" s="247"/>
      <c r="AH9" s="247"/>
      <c r="AI9" s="249"/>
    </row>
    <row r="10" spans="2:35" s="245" customFormat="1" ht="14.25" customHeight="1">
      <c r="B10" s="241"/>
      <c r="C10" s="240" t="s">
        <v>316</v>
      </c>
      <c r="D10" s="241" t="s">
        <v>305</v>
      </c>
      <c r="E10" s="241" t="s">
        <v>278</v>
      </c>
      <c r="F10" s="241">
        <v>93.3</v>
      </c>
      <c r="G10" s="241">
        <v>100</v>
      </c>
      <c r="H10" s="242" t="s">
        <v>307</v>
      </c>
      <c r="I10" s="241"/>
      <c r="J10" s="241"/>
      <c r="K10" s="263"/>
      <c r="L10" s="263"/>
      <c r="M10" s="264"/>
      <c r="N10" s="263"/>
      <c r="O10" s="263"/>
      <c r="P10" s="263"/>
      <c r="Q10" s="263"/>
      <c r="R10" s="263"/>
      <c r="S10" s="263"/>
      <c r="T10" s="263"/>
      <c r="U10" s="241"/>
      <c r="V10" s="241"/>
      <c r="W10" s="241">
        <v>105</v>
      </c>
      <c r="X10" s="254">
        <v>120</v>
      </c>
      <c r="Y10" s="244">
        <v>125</v>
      </c>
      <c r="Z10" s="241"/>
      <c r="AA10" s="241"/>
      <c r="AB10" s="246"/>
      <c r="AC10" s="247">
        <v>102.22</v>
      </c>
      <c r="AD10" s="247"/>
      <c r="AE10" s="248"/>
      <c r="AF10" s="248"/>
      <c r="AG10" s="247"/>
      <c r="AH10" s="247"/>
      <c r="AI10" s="249"/>
    </row>
    <row r="11" spans="2:35" s="245" customFormat="1" ht="14.25" customHeight="1">
      <c r="B11" s="241"/>
      <c r="C11" s="257" t="s">
        <v>319</v>
      </c>
      <c r="D11" s="241" t="s">
        <v>276</v>
      </c>
      <c r="E11" s="241" t="s">
        <v>278</v>
      </c>
      <c r="F11" s="241">
        <v>91.3</v>
      </c>
      <c r="G11" s="241">
        <v>100</v>
      </c>
      <c r="H11" s="242" t="s">
        <v>275</v>
      </c>
      <c r="I11" s="241"/>
      <c r="J11" s="241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41"/>
      <c r="V11" s="241"/>
      <c r="W11" s="241">
        <v>205.5</v>
      </c>
      <c r="X11" s="241">
        <v>210</v>
      </c>
      <c r="Y11" s="244">
        <v>215</v>
      </c>
      <c r="Z11" s="241"/>
      <c r="AA11" s="241"/>
      <c r="AB11" s="246"/>
      <c r="AC11" s="247">
        <v>133.09</v>
      </c>
      <c r="AD11" s="247"/>
      <c r="AE11" s="248"/>
      <c r="AF11" s="248"/>
      <c r="AG11" s="247"/>
      <c r="AH11" s="247"/>
      <c r="AI11" s="249"/>
    </row>
    <row r="12" spans="2:35" s="245" customFormat="1" ht="14.25" customHeight="1">
      <c r="B12" s="241"/>
      <c r="C12" s="257" t="s">
        <v>293</v>
      </c>
      <c r="D12" s="241" t="s">
        <v>276</v>
      </c>
      <c r="E12" s="241" t="s">
        <v>278</v>
      </c>
      <c r="F12" s="241">
        <v>95.2</v>
      </c>
      <c r="G12" s="241">
        <v>100</v>
      </c>
      <c r="H12" s="242" t="s">
        <v>275</v>
      </c>
      <c r="I12" s="241"/>
      <c r="J12" s="241"/>
      <c r="K12" s="263"/>
      <c r="L12" s="263"/>
      <c r="M12" s="263"/>
      <c r="N12" s="263"/>
      <c r="O12" s="263"/>
      <c r="P12" s="263"/>
      <c r="Q12" s="263"/>
      <c r="R12" s="264"/>
      <c r="S12" s="263"/>
      <c r="T12" s="263"/>
      <c r="U12" s="241"/>
      <c r="V12" s="241"/>
      <c r="W12" s="241">
        <v>220</v>
      </c>
      <c r="X12" s="241">
        <v>230</v>
      </c>
      <c r="Y12" s="241">
        <v>240</v>
      </c>
      <c r="Z12" s="241"/>
      <c r="AA12" s="241"/>
      <c r="AB12" s="246"/>
      <c r="AC12" s="247">
        <v>149.13</v>
      </c>
      <c r="AD12" s="247"/>
      <c r="AE12" s="248"/>
      <c r="AF12" s="248"/>
      <c r="AG12" s="247"/>
      <c r="AH12" s="247"/>
      <c r="AI12" s="249"/>
    </row>
    <row r="13" spans="2:35" s="245" customFormat="1" ht="14.25" customHeight="1">
      <c r="B13" s="241"/>
      <c r="C13" s="257" t="s">
        <v>285</v>
      </c>
      <c r="D13" s="241" t="s">
        <v>276</v>
      </c>
      <c r="E13" s="241" t="s">
        <v>278</v>
      </c>
      <c r="F13" s="241">
        <v>93.9</v>
      </c>
      <c r="G13" s="241">
        <v>100</v>
      </c>
      <c r="H13" s="242" t="s">
        <v>275</v>
      </c>
      <c r="I13" s="241"/>
      <c r="J13" s="241"/>
      <c r="K13" s="264"/>
      <c r="L13" s="263"/>
      <c r="M13" s="263"/>
      <c r="N13" s="263"/>
      <c r="O13" s="263"/>
      <c r="P13" s="263"/>
      <c r="Q13" s="264"/>
      <c r="R13" s="264"/>
      <c r="S13" s="264"/>
      <c r="T13" s="263"/>
      <c r="U13" s="241"/>
      <c r="V13" s="241"/>
      <c r="W13" s="254">
        <v>245</v>
      </c>
      <c r="X13" s="254">
        <v>260</v>
      </c>
      <c r="Y13" s="244">
        <v>270</v>
      </c>
      <c r="Z13" s="241"/>
      <c r="AA13" s="241"/>
      <c r="AB13" s="246"/>
      <c r="AC13" s="247">
        <v>162.6</v>
      </c>
      <c r="AD13" s="247"/>
      <c r="AE13" s="248"/>
      <c r="AF13" s="248"/>
      <c r="AG13" s="247"/>
      <c r="AH13" s="247"/>
      <c r="AI13" s="249"/>
    </row>
    <row r="14" spans="2:35" s="245" customFormat="1" ht="14.25" customHeight="1">
      <c r="B14" s="241"/>
      <c r="C14" s="240"/>
      <c r="D14" s="241"/>
      <c r="E14" s="241"/>
      <c r="F14" s="241"/>
      <c r="G14" s="241"/>
      <c r="H14" s="242"/>
      <c r="I14" s="241"/>
      <c r="J14" s="241"/>
      <c r="K14" s="241"/>
      <c r="L14" s="244"/>
      <c r="M14" s="241"/>
      <c r="N14" s="241"/>
      <c r="O14" s="241"/>
      <c r="P14" s="241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241"/>
      <c r="AB14" s="246"/>
      <c r="AC14" s="247"/>
      <c r="AD14" s="247"/>
      <c r="AE14" s="248"/>
      <c r="AF14" s="248"/>
      <c r="AG14" s="247"/>
      <c r="AH14" s="247"/>
      <c r="AI14" s="249"/>
    </row>
    <row r="15" spans="2:35" s="245" customFormat="1" ht="14.25" customHeight="1">
      <c r="B15" s="241"/>
      <c r="C15" s="240"/>
      <c r="D15" s="241"/>
      <c r="E15" s="241"/>
      <c r="F15" s="241"/>
      <c r="G15" s="241"/>
      <c r="H15" s="242"/>
      <c r="I15" s="241"/>
      <c r="J15" s="241"/>
      <c r="K15" s="241"/>
      <c r="L15" s="244"/>
      <c r="M15" s="241"/>
      <c r="N15" s="241"/>
      <c r="O15" s="241"/>
      <c r="P15" s="241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241"/>
      <c r="AB15" s="246"/>
      <c r="AC15" s="247"/>
      <c r="AD15" s="247"/>
      <c r="AE15" s="248"/>
      <c r="AF15" s="248"/>
      <c r="AG15" s="247"/>
      <c r="AH15" s="247"/>
      <c r="AI15" s="249"/>
    </row>
    <row r="16" spans="2:35" s="245" customFormat="1" ht="14.25" customHeight="1">
      <c r="B16" s="241"/>
      <c r="C16" s="261" t="s">
        <v>289</v>
      </c>
      <c r="D16" s="241" t="s">
        <v>277</v>
      </c>
      <c r="E16" s="241" t="s">
        <v>273</v>
      </c>
      <c r="F16" s="241">
        <v>105.9</v>
      </c>
      <c r="G16" s="241">
        <v>110</v>
      </c>
      <c r="H16" s="242" t="s">
        <v>275</v>
      </c>
      <c r="I16" s="241"/>
      <c r="J16" s="241"/>
      <c r="K16" s="263"/>
      <c r="L16" s="263"/>
      <c r="M16" s="264"/>
      <c r="N16" s="263"/>
      <c r="O16" s="263"/>
      <c r="P16" s="263"/>
      <c r="Q16" s="263"/>
      <c r="R16" s="263"/>
      <c r="S16" s="264"/>
      <c r="T16" s="263"/>
      <c r="U16" s="241"/>
      <c r="V16" s="241"/>
      <c r="W16" s="241">
        <v>245</v>
      </c>
      <c r="X16" s="241">
        <v>255</v>
      </c>
      <c r="Y16" s="256"/>
      <c r="Z16" s="244"/>
      <c r="AA16" s="241"/>
      <c r="AB16" s="246"/>
      <c r="AC16" s="247">
        <v>151.92</v>
      </c>
      <c r="AD16" s="247"/>
      <c r="AE16" s="248"/>
      <c r="AF16" s="248"/>
      <c r="AG16" s="247"/>
      <c r="AH16" s="247"/>
      <c r="AI16" s="249"/>
    </row>
    <row r="17" spans="2:35" s="245" customFormat="1" ht="14.25" customHeight="1">
      <c r="B17" s="241"/>
      <c r="C17" s="261" t="s">
        <v>298</v>
      </c>
      <c r="D17" s="241" t="s">
        <v>276</v>
      </c>
      <c r="E17" s="241" t="s">
        <v>273</v>
      </c>
      <c r="F17" s="241">
        <v>102</v>
      </c>
      <c r="G17" s="241">
        <v>110</v>
      </c>
      <c r="H17" s="242" t="s">
        <v>275</v>
      </c>
      <c r="I17" s="241"/>
      <c r="J17" s="24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41"/>
      <c r="V17" s="241"/>
      <c r="W17" s="241">
        <v>240</v>
      </c>
      <c r="X17" s="241">
        <v>250</v>
      </c>
      <c r="Y17" s="254">
        <v>256</v>
      </c>
      <c r="Z17" s="241"/>
      <c r="AA17" s="241"/>
      <c r="AB17" s="246"/>
      <c r="AC17" s="247">
        <v>154.59</v>
      </c>
      <c r="AD17" s="247"/>
      <c r="AE17" s="248"/>
      <c r="AF17" s="248"/>
      <c r="AG17" s="247"/>
      <c r="AH17" s="247"/>
      <c r="AI17" s="249"/>
    </row>
    <row r="18" spans="2:35" s="245" customFormat="1" ht="14.25" customHeight="1">
      <c r="B18" s="241"/>
      <c r="C18" s="240" t="s">
        <v>314</v>
      </c>
      <c r="D18" s="241" t="s">
        <v>276</v>
      </c>
      <c r="E18" s="241" t="s">
        <v>272</v>
      </c>
      <c r="F18" s="241">
        <v>108.3</v>
      </c>
      <c r="G18" s="241">
        <v>110</v>
      </c>
      <c r="H18" s="242" t="s">
        <v>275</v>
      </c>
      <c r="I18" s="241"/>
      <c r="J18" s="241"/>
      <c r="K18" s="264"/>
      <c r="L18" s="263"/>
      <c r="M18" s="263"/>
      <c r="N18" s="263"/>
      <c r="O18" s="263"/>
      <c r="P18" s="263"/>
      <c r="Q18" s="263"/>
      <c r="R18" s="263"/>
      <c r="S18" s="264"/>
      <c r="T18" s="263"/>
      <c r="U18" s="241"/>
      <c r="V18" s="241"/>
      <c r="W18" s="241">
        <v>220</v>
      </c>
      <c r="X18" s="241">
        <v>230</v>
      </c>
      <c r="Y18" s="241">
        <v>240</v>
      </c>
      <c r="Z18" s="241"/>
      <c r="AA18" s="241"/>
      <c r="AB18" s="246"/>
      <c r="AC18" s="247">
        <v>141.93</v>
      </c>
      <c r="AD18" s="247"/>
      <c r="AE18" s="248"/>
      <c r="AF18" s="248"/>
      <c r="AG18" s="247"/>
      <c r="AH18" s="247"/>
      <c r="AI18" s="249"/>
    </row>
    <row r="19" spans="2:35" s="245" customFormat="1" ht="14.25" customHeight="1">
      <c r="B19" s="241"/>
      <c r="C19" s="240" t="s">
        <v>312</v>
      </c>
      <c r="D19" s="241" t="s">
        <v>276</v>
      </c>
      <c r="E19" s="241" t="s">
        <v>272</v>
      </c>
      <c r="F19" s="241">
        <v>109.4</v>
      </c>
      <c r="G19" s="241">
        <v>110</v>
      </c>
      <c r="H19" s="242" t="s">
        <v>307</v>
      </c>
      <c r="I19" s="241"/>
      <c r="J19" s="241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41"/>
      <c r="V19" s="241"/>
      <c r="W19" s="241">
        <v>250</v>
      </c>
      <c r="X19" s="254">
        <v>275</v>
      </c>
      <c r="Y19" s="244">
        <v>282.5</v>
      </c>
      <c r="Z19" s="241"/>
      <c r="AA19" s="241"/>
      <c r="AB19" s="246"/>
      <c r="AC19" s="247">
        <v>162.11</v>
      </c>
      <c r="AD19" s="247"/>
      <c r="AE19" s="248"/>
      <c r="AF19" s="248"/>
      <c r="AG19" s="247"/>
      <c r="AH19" s="247"/>
      <c r="AI19" s="249"/>
    </row>
    <row r="20" spans="2:35" s="245" customFormat="1" ht="14.25" customHeight="1">
      <c r="B20" s="241"/>
      <c r="C20" s="240" t="s">
        <v>283</v>
      </c>
      <c r="D20" s="241" t="s">
        <v>282</v>
      </c>
      <c r="E20" s="241" t="s">
        <v>272</v>
      </c>
      <c r="F20" s="241">
        <v>111.8</v>
      </c>
      <c r="G20" s="241">
        <v>125</v>
      </c>
      <c r="H20" s="242" t="s">
        <v>275</v>
      </c>
      <c r="I20" s="241"/>
      <c r="J20" s="241"/>
      <c r="K20" s="264"/>
      <c r="L20" s="263"/>
      <c r="M20" s="263"/>
      <c r="N20" s="263"/>
      <c r="O20" s="263"/>
      <c r="P20" s="263"/>
      <c r="Q20" s="263"/>
      <c r="R20" s="263"/>
      <c r="S20" s="264"/>
      <c r="T20" s="263"/>
      <c r="U20" s="241"/>
      <c r="V20" s="241"/>
      <c r="W20" s="241">
        <v>250</v>
      </c>
      <c r="X20" s="241">
        <v>260</v>
      </c>
      <c r="Y20" s="241">
        <v>270</v>
      </c>
      <c r="Z20" s="241"/>
      <c r="AA20" s="241"/>
      <c r="AB20" s="246"/>
      <c r="AC20" s="247">
        <v>158.11</v>
      </c>
      <c r="AD20" s="247"/>
      <c r="AE20" s="248"/>
      <c r="AF20" s="248"/>
      <c r="AG20" s="247"/>
      <c r="AH20" s="247"/>
      <c r="AI20" s="249"/>
    </row>
    <row r="21" spans="2:35" s="245" customFormat="1" ht="14.25" customHeight="1">
      <c r="B21" s="241"/>
      <c r="C21" s="260" t="s">
        <v>299</v>
      </c>
      <c r="D21" s="241" t="s">
        <v>276</v>
      </c>
      <c r="E21" s="241" t="s">
        <v>280</v>
      </c>
      <c r="F21" s="241">
        <v>119.4</v>
      </c>
      <c r="G21" s="241">
        <v>125</v>
      </c>
      <c r="H21" s="242" t="s">
        <v>275</v>
      </c>
      <c r="I21" s="241"/>
      <c r="J21" s="241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41"/>
      <c r="V21" s="241"/>
      <c r="W21" s="241">
        <v>160</v>
      </c>
      <c r="X21" s="241">
        <v>185</v>
      </c>
      <c r="Y21" s="244">
        <v>200</v>
      </c>
      <c r="Z21" s="241"/>
      <c r="AA21" s="241"/>
      <c r="AB21" s="246"/>
      <c r="AC21" s="247">
        <v>106.48</v>
      </c>
      <c r="AD21" s="247"/>
      <c r="AE21" s="248"/>
      <c r="AF21" s="248"/>
      <c r="AG21" s="247"/>
      <c r="AH21" s="247"/>
      <c r="AI21" s="249"/>
    </row>
    <row r="22" spans="2:35" s="245" customFormat="1" ht="14.25" customHeight="1">
      <c r="B22" s="241"/>
      <c r="C22" s="260" t="s">
        <v>294</v>
      </c>
      <c r="D22" s="241" t="s">
        <v>276</v>
      </c>
      <c r="E22" s="241" t="s">
        <v>280</v>
      </c>
      <c r="F22" s="241">
        <v>117.8</v>
      </c>
      <c r="G22" s="241">
        <v>125</v>
      </c>
      <c r="H22" s="242" t="s">
        <v>275</v>
      </c>
      <c r="I22" s="241"/>
      <c r="J22" s="241"/>
      <c r="K22" s="263"/>
      <c r="L22" s="263"/>
      <c r="M22" s="264"/>
      <c r="N22" s="264"/>
      <c r="O22" s="263"/>
      <c r="P22" s="263"/>
      <c r="Q22" s="263"/>
      <c r="R22" s="263"/>
      <c r="S22" s="263"/>
      <c r="T22" s="263"/>
      <c r="U22" s="241"/>
      <c r="V22" s="241"/>
      <c r="W22" s="254">
        <v>235</v>
      </c>
      <c r="X22" s="254">
        <v>272.5</v>
      </c>
      <c r="Y22" s="256"/>
      <c r="Z22" s="241"/>
      <c r="AA22" s="241"/>
      <c r="AB22" s="246"/>
      <c r="AC22" s="247">
        <v>157.36</v>
      </c>
      <c r="AD22" s="247"/>
      <c r="AE22" s="248"/>
      <c r="AF22" s="248"/>
      <c r="AG22" s="247"/>
      <c r="AH22" s="247"/>
      <c r="AI22" s="249"/>
    </row>
    <row r="23" spans="2:35" s="245" customFormat="1" ht="14.25" customHeight="1">
      <c r="B23" s="241"/>
      <c r="C23" s="240" t="s">
        <v>315</v>
      </c>
      <c r="D23" s="241" t="s">
        <v>276</v>
      </c>
      <c r="E23" s="241" t="s">
        <v>274</v>
      </c>
      <c r="F23" s="241">
        <v>106.7</v>
      </c>
      <c r="G23" s="241">
        <v>110</v>
      </c>
      <c r="H23" s="242" t="s">
        <v>275</v>
      </c>
      <c r="I23" s="241"/>
      <c r="J23" s="241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41"/>
      <c r="V23" s="241"/>
      <c r="W23" s="241">
        <v>200</v>
      </c>
      <c r="X23" s="254">
        <v>220</v>
      </c>
      <c r="Y23" s="254">
        <v>230</v>
      </c>
      <c r="Z23" s="244">
        <v>240</v>
      </c>
      <c r="AA23" s="241"/>
      <c r="AB23" s="246"/>
      <c r="AC23" s="247">
        <v>136.68</v>
      </c>
      <c r="AD23" s="247"/>
      <c r="AE23" s="248"/>
      <c r="AF23" s="248"/>
      <c r="AG23" s="247"/>
      <c r="AH23" s="247"/>
      <c r="AI23" s="249"/>
    </row>
    <row r="24" spans="2:35" s="245" customFormat="1" ht="14.25" customHeight="1">
      <c r="B24" s="241"/>
      <c r="C24" s="240" t="s">
        <v>291</v>
      </c>
      <c r="D24" s="241" t="s">
        <v>276</v>
      </c>
      <c r="E24" s="241" t="s">
        <v>278</v>
      </c>
      <c r="F24" s="241">
        <v>123</v>
      </c>
      <c r="G24" s="241">
        <v>125</v>
      </c>
      <c r="H24" s="242" t="s">
        <v>275</v>
      </c>
      <c r="I24" s="241"/>
      <c r="J24" s="241"/>
      <c r="K24" s="263"/>
      <c r="L24" s="263"/>
      <c r="M24" s="264"/>
      <c r="N24" s="263"/>
      <c r="O24" s="263"/>
      <c r="P24" s="263"/>
      <c r="Q24" s="263"/>
      <c r="R24" s="263"/>
      <c r="S24" s="264"/>
      <c r="T24" s="263"/>
      <c r="U24" s="241"/>
      <c r="V24" s="241"/>
      <c r="W24" s="241">
        <v>270</v>
      </c>
      <c r="X24" s="241">
        <v>285</v>
      </c>
      <c r="Y24" s="254">
        <v>300</v>
      </c>
      <c r="Z24" s="241"/>
      <c r="AA24" s="241"/>
      <c r="AB24" s="246"/>
      <c r="AC24" s="247">
        <v>171.54</v>
      </c>
      <c r="AD24" s="247"/>
      <c r="AE24" s="248"/>
      <c r="AF24" s="248"/>
      <c r="AG24" s="247"/>
      <c r="AH24" s="247"/>
      <c r="AI24" s="249"/>
    </row>
    <row r="25" spans="2:35" s="245" customFormat="1" ht="14.25" customHeight="1">
      <c r="B25" s="241"/>
      <c r="C25" s="240"/>
      <c r="D25" s="241"/>
      <c r="E25" s="241"/>
      <c r="F25" s="241"/>
      <c r="G25" s="241"/>
      <c r="H25" s="242"/>
      <c r="I25" s="241"/>
      <c r="J25" s="241"/>
      <c r="K25" s="244"/>
      <c r="L25" s="241"/>
      <c r="M25" s="241"/>
      <c r="N25" s="241"/>
      <c r="O25" s="241"/>
      <c r="P25" s="241"/>
      <c r="Q25" s="241"/>
      <c r="R25" s="241"/>
      <c r="S25" s="244"/>
      <c r="T25" s="241"/>
      <c r="U25" s="241"/>
      <c r="V25" s="241"/>
      <c r="W25" s="241"/>
      <c r="X25" s="241"/>
      <c r="Y25" s="241"/>
      <c r="Z25" s="241"/>
      <c r="AA25" s="241"/>
      <c r="AB25" s="246"/>
      <c r="AC25" s="247"/>
      <c r="AD25" s="247"/>
      <c r="AE25" s="248"/>
      <c r="AF25" s="248"/>
      <c r="AG25" s="247"/>
      <c r="AH25" s="247"/>
      <c r="AI25" s="249"/>
    </row>
    <row r="26" spans="2:35" s="245" customFormat="1" ht="14.25" customHeight="1">
      <c r="B26" s="241"/>
      <c r="C26" s="240" t="s">
        <v>289</v>
      </c>
      <c r="D26" s="241" t="s">
        <v>277</v>
      </c>
      <c r="E26" s="241" t="s">
        <v>273</v>
      </c>
      <c r="F26" s="241">
        <v>105.9</v>
      </c>
      <c r="G26" s="241">
        <v>110</v>
      </c>
      <c r="H26" s="242" t="s">
        <v>275</v>
      </c>
      <c r="I26" s="241"/>
      <c r="J26" s="241"/>
      <c r="K26" s="256"/>
      <c r="L26" s="256"/>
      <c r="M26" s="258"/>
      <c r="N26" s="256"/>
      <c r="O26" s="241"/>
      <c r="P26" s="241"/>
      <c r="Q26" s="254">
        <v>235</v>
      </c>
      <c r="R26" s="244">
        <v>245</v>
      </c>
      <c r="S26" s="254">
        <v>245</v>
      </c>
      <c r="T26" s="254">
        <v>250</v>
      </c>
      <c r="U26" s="241"/>
      <c r="V26" s="241"/>
      <c r="W26" s="256"/>
      <c r="X26" s="256"/>
      <c r="Y26" s="256"/>
      <c r="Z26" s="258"/>
      <c r="AA26" s="241"/>
      <c r="AB26" s="246"/>
      <c r="AC26" s="247">
        <v>148.95</v>
      </c>
      <c r="AD26" s="247"/>
      <c r="AE26" s="248"/>
      <c r="AF26" s="248"/>
      <c r="AG26" s="247"/>
      <c r="AH26" s="247"/>
      <c r="AI26" s="249"/>
    </row>
    <row r="27" spans="2:35" s="245" customFormat="1" ht="14.25" customHeight="1">
      <c r="B27" s="241"/>
      <c r="C27" s="257" t="s">
        <v>301</v>
      </c>
      <c r="D27" s="241" t="s">
        <v>276</v>
      </c>
      <c r="E27" s="241" t="s">
        <v>272</v>
      </c>
      <c r="F27" s="241">
        <v>106.4</v>
      </c>
      <c r="G27" s="241">
        <v>110</v>
      </c>
      <c r="H27" s="242" t="s">
        <v>275</v>
      </c>
      <c r="I27" s="241"/>
      <c r="J27" s="241"/>
      <c r="K27" s="256"/>
      <c r="L27" s="256"/>
      <c r="M27" s="256"/>
      <c r="N27" s="256"/>
      <c r="O27" s="241"/>
      <c r="P27" s="241"/>
      <c r="Q27" s="241">
        <v>175</v>
      </c>
      <c r="R27" s="244">
        <v>182</v>
      </c>
      <c r="S27" s="255">
        <v>185</v>
      </c>
      <c r="T27" s="241"/>
      <c r="U27" s="241"/>
      <c r="V27" s="241"/>
      <c r="W27" s="256"/>
      <c r="X27" s="256"/>
      <c r="Y27" s="256"/>
      <c r="Z27" s="256"/>
      <c r="AA27" s="241"/>
      <c r="AB27" s="246"/>
      <c r="AC27" s="247">
        <v>110.03</v>
      </c>
      <c r="AD27" s="247"/>
      <c r="AE27" s="248"/>
      <c r="AF27" s="248"/>
      <c r="AG27" s="247"/>
      <c r="AH27" s="247"/>
      <c r="AI27" s="249"/>
    </row>
    <row r="28" spans="2:35" s="245" customFormat="1" ht="14.25" customHeight="1">
      <c r="B28" s="241"/>
      <c r="C28" s="257" t="s">
        <v>310</v>
      </c>
      <c r="D28" s="241" t="s">
        <v>309</v>
      </c>
      <c r="E28" s="241" t="s">
        <v>272</v>
      </c>
      <c r="F28" s="241">
        <v>106.4</v>
      </c>
      <c r="G28" s="241">
        <v>110</v>
      </c>
      <c r="H28" s="242" t="s">
        <v>275</v>
      </c>
      <c r="I28" s="241"/>
      <c r="J28" s="241"/>
      <c r="K28" s="258"/>
      <c r="L28" s="256"/>
      <c r="M28" s="256"/>
      <c r="N28" s="256"/>
      <c r="O28" s="241"/>
      <c r="P28" s="241"/>
      <c r="Q28" s="254">
        <v>180</v>
      </c>
      <c r="R28" s="254">
        <v>190</v>
      </c>
      <c r="S28" s="254">
        <v>200</v>
      </c>
      <c r="T28" s="244">
        <v>210</v>
      </c>
      <c r="U28" s="241"/>
      <c r="V28" s="241"/>
      <c r="W28" s="256"/>
      <c r="X28" s="256"/>
      <c r="Y28" s="256"/>
      <c r="Z28" s="256"/>
      <c r="AA28" s="241"/>
      <c r="AB28" s="246"/>
      <c r="AC28" s="247">
        <v>118.96</v>
      </c>
      <c r="AD28" s="247"/>
      <c r="AE28" s="248"/>
      <c r="AF28" s="248"/>
      <c r="AG28" s="247"/>
      <c r="AH28" s="247"/>
      <c r="AI28" s="249"/>
    </row>
    <row r="29" spans="2:35" s="245" customFormat="1" ht="14.25" customHeight="1">
      <c r="B29" s="241"/>
      <c r="C29" s="240" t="s">
        <v>312</v>
      </c>
      <c r="D29" s="241" t="s">
        <v>276</v>
      </c>
      <c r="E29" s="241" t="s">
        <v>272</v>
      </c>
      <c r="F29" s="241">
        <v>109.4</v>
      </c>
      <c r="G29" s="241">
        <v>110</v>
      </c>
      <c r="H29" s="242" t="s">
        <v>307</v>
      </c>
      <c r="I29" s="241"/>
      <c r="J29" s="241"/>
      <c r="K29" s="256"/>
      <c r="L29" s="256"/>
      <c r="M29" s="256"/>
      <c r="N29" s="256"/>
      <c r="O29" s="241"/>
      <c r="P29" s="241"/>
      <c r="Q29" s="241">
        <v>180</v>
      </c>
      <c r="R29" s="244">
        <v>192.5</v>
      </c>
      <c r="S29" s="241">
        <v>192.5</v>
      </c>
      <c r="T29" s="241"/>
      <c r="U29" s="241"/>
      <c r="V29" s="241"/>
      <c r="W29" s="256"/>
      <c r="X29" s="256"/>
      <c r="Y29" s="256"/>
      <c r="Z29" s="256"/>
      <c r="AA29" s="241"/>
      <c r="AB29" s="246"/>
      <c r="AC29" s="247">
        <v>113.47</v>
      </c>
      <c r="AD29" s="247"/>
      <c r="AE29" s="248"/>
      <c r="AF29" s="248"/>
      <c r="AG29" s="247"/>
      <c r="AH29" s="247"/>
      <c r="AI29" s="249"/>
    </row>
    <row r="30" spans="1:35" s="245" customFormat="1" ht="14.25" customHeight="1">
      <c r="A30" s="245" t="s">
        <v>281</v>
      </c>
      <c r="B30" s="241"/>
      <c r="C30" s="240" t="s">
        <v>284</v>
      </c>
      <c r="D30" s="241" t="s">
        <v>277</v>
      </c>
      <c r="E30" s="241" t="s">
        <v>272</v>
      </c>
      <c r="F30" s="241">
        <v>107</v>
      </c>
      <c r="G30" s="241">
        <v>110</v>
      </c>
      <c r="H30" s="242" t="s">
        <v>279</v>
      </c>
      <c r="I30" s="241"/>
      <c r="J30" s="241"/>
      <c r="K30" s="256"/>
      <c r="L30" s="256"/>
      <c r="M30" s="256"/>
      <c r="N30" s="256"/>
      <c r="O30" s="241"/>
      <c r="P30" s="241"/>
      <c r="Q30" s="241">
        <v>255</v>
      </c>
      <c r="R30" s="254">
        <v>271</v>
      </c>
      <c r="S30" s="244">
        <v>290</v>
      </c>
      <c r="T30" s="241"/>
      <c r="U30" s="241"/>
      <c r="V30" s="241"/>
      <c r="W30" s="256"/>
      <c r="X30" s="256"/>
      <c r="Y30" s="256"/>
      <c r="Z30" s="256"/>
      <c r="AA30" s="241"/>
      <c r="AB30" s="246"/>
      <c r="AC30" s="247">
        <v>160.89</v>
      </c>
      <c r="AD30" s="247"/>
      <c r="AE30" s="248"/>
      <c r="AF30" s="248"/>
      <c r="AG30" s="247"/>
      <c r="AH30" s="247"/>
      <c r="AI30" s="249"/>
    </row>
    <row r="31" spans="2:35" s="245" customFormat="1" ht="14.25" customHeight="1">
      <c r="B31" s="241"/>
      <c r="C31" s="240" t="s">
        <v>313</v>
      </c>
      <c r="D31" s="241" t="s">
        <v>276</v>
      </c>
      <c r="E31" s="241" t="s">
        <v>280</v>
      </c>
      <c r="F31" s="241">
        <v>107.5</v>
      </c>
      <c r="G31" s="241">
        <v>110</v>
      </c>
      <c r="H31" s="242" t="s">
        <v>275</v>
      </c>
      <c r="I31" s="241"/>
      <c r="J31" s="241"/>
      <c r="K31" s="256"/>
      <c r="L31" s="256"/>
      <c r="M31" s="256"/>
      <c r="N31" s="256"/>
      <c r="O31" s="241"/>
      <c r="P31" s="241"/>
      <c r="Q31" s="241">
        <v>170</v>
      </c>
      <c r="R31" s="241">
        <v>180</v>
      </c>
      <c r="S31" s="241">
        <v>185</v>
      </c>
      <c r="T31" s="254">
        <v>190</v>
      </c>
      <c r="U31" s="241"/>
      <c r="V31" s="241"/>
      <c r="W31" s="256"/>
      <c r="X31" s="256"/>
      <c r="Y31" s="256"/>
      <c r="Z31" s="256"/>
      <c r="AA31" s="241"/>
      <c r="AB31" s="246"/>
      <c r="AC31" s="247">
        <v>112.63</v>
      </c>
      <c r="AD31" s="247"/>
      <c r="AE31" s="248"/>
      <c r="AF31" s="248"/>
      <c r="AG31" s="247"/>
      <c r="AH31" s="247"/>
      <c r="AI31" s="249"/>
    </row>
    <row r="32" spans="2:35" s="245" customFormat="1" ht="14.25" customHeight="1">
      <c r="B32" s="241"/>
      <c r="C32" s="240" t="s">
        <v>322</v>
      </c>
      <c r="D32" s="241" t="s">
        <v>318</v>
      </c>
      <c r="E32" s="241" t="s">
        <v>317</v>
      </c>
      <c r="F32" s="241">
        <v>115.3</v>
      </c>
      <c r="G32" s="241">
        <v>125</v>
      </c>
      <c r="H32" s="242" t="s">
        <v>279</v>
      </c>
      <c r="I32" s="241"/>
      <c r="J32" s="241"/>
      <c r="K32" s="258"/>
      <c r="L32" s="256"/>
      <c r="M32" s="256"/>
      <c r="N32" s="256"/>
      <c r="O32" s="241"/>
      <c r="P32" s="241"/>
      <c r="Q32" s="254">
        <v>320</v>
      </c>
      <c r="R32" s="244">
        <v>345</v>
      </c>
      <c r="S32" s="256"/>
      <c r="T32" s="241"/>
      <c r="U32" s="241"/>
      <c r="V32" s="241"/>
      <c r="W32" s="256"/>
      <c r="X32" s="256"/>
      <c r="Y32" s="256"/>
      <c r="Z32" s="256"/>
      <c r="AA32" s="241"/>
      <c r="AB32" s="246"/>
      <c r="AC32" s="247">
        <v>185.79</v>
      </c>
      <c r="AD32" s="247"/>
      <c r="AE32" s="248"/>
      <c r="AF32" s="248"/>
      <c r="AG32" s="247"/>
      <c r="AH32" s="247"/>
      <c r="AI32" s="249"/>
    </row>
    <row r="33" spans="2:35" s="245" customFormat="1" ht="14.25" customHeight="1">
      <c r="B33" s="241"/>
      <c r="C33" s="243"/>
      <c r="D33" s="241"/>
      <c r="E33" s="241"/>
      <c r="F33" s="241"/>
      <c r="G33" s="241"/>
      <c r="H33" s="242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6"/>
      <c r="AC33" s="247"/>
      <c r="AD33" s="247"/>
      <c r="AE33" s="248"/>
      <c r="AF33" s="248"/>
      <c r="AG33" s="247"/>
      <c r="AH33" s="247"/>
      <c r="AI33" s="249"/>
    </row>
    <row r="34" spans="2:35" s="245" customFormat="1" ht="14.25" customHeight="1">
      <c r="B34" s="241"/>
      <c r="C34" s="243"/>
      <c r="D34" s="241"/>
      <c r="E34" s="241"/>
      <c r="F34" s="241"/>
      <c r="G34" s="241"/>
      <c r="H34" s="242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6"/>
      <c r="AC34" s="247"/>
      <c r="AD34" s="247"/>
      <c r="AE34" s="248"/>
      <c r="AF34" s="248"/>
      <c r="AG34" s="247"/>
      <c r="AH34" s="247"/>
      <c r="AI34" s="249"/>
    </row>
    <row r="35" spans="2:35" s="245" customFormat="1" ht="14.25" customHeight="1">
      <c r="B35" s="241"/>
      <c r="C35" s="259" t="s">
        <v>311</v>
      </c>
      <c r="D35" s="241" t="s">
        <v>309</v>
      </c>
      <c r="E35" s="241" t="s">
        <v>272</v>
      </c>
      <c r="F35" s="241">
        <v>114.7</v>
      </c>
      <c r="G35" s="241">
        <v>125</v>
      </c>
      <c r="H35" s="242" t="s">
        <v>275</v>
      </c>
      <c r="I35" s="241"/>
      <c r="J35" s="241"/>
      <c r="K35" s="258"/>
      <c r="L35" s="256"/>
      <c r="M35" s="256"/>
      <c r="N35" s="256"/>
      <c r="O35" s="241"/>
      <c r="P35" s="241"/>
      <c r="Q35" s="244">
        <v>170</v>
      </c>
      <c r="R35" s="241">
        <v>170</v>
      </c>
      <c r="S35" s="244">
        <v>181</v>
      </c>
      <c r="T35" s="241"/>
      <c r="U35" s="241"/>
      <c r="V35" s="241"/>
      <c r="W35" s="256"/>
      <c r="X35" s="256"/>
      <c r="Y35" s="256"/>
      <c r="Z35" s="256"/>
      <c r="AA35" s="241"/>
      <c r="AB35" s="246"/>
      <c r="AC35" s="247">
        <v>98.85</v>
      </c>
      <c r="AD35" s="247"/>
      <c r="AE35" s="248"/>
      <c r="AF35" s="248"/>
      <c r="AG35" s="247"/>
      <c r="AH35" s="247"/>
      <c r="AI35" s="249"/>
    </row>
    <row r="36" spans="2:35" s="245" customFormat="1" ht="14.25" customHeight="1">
      <c r="B36" s="241"/>
      <c r="C36" s="259" t="s">
        <v>283</v>
      </c>
      <c r="D36" s="241" t="s">
        <v>282</v>
      </c>
      <c r="E36" s="241" t="s">
        <v>272</v>
      </c>
      <c r="F36" s="241">
        <v>111.8</v>
      </c>
      <c r="G36" s="241">
        <v>125</v>
      </c>
      <c r="H36" s="242" t="s">
        <v>275</v>
      </c>
      <c r="I36" s="241"/>
      <c r="J36" s="241"/>
      <c r="K36" s="258"/>
      <c r="L36" s="256"/>
      <c r="M36" s="256"/>
      <c r="N36" s="256"/>
      <c r="O36" s="241"/>
      <c r="P36" s="241"/>
      <c r="Q36" s="241">
        <v>180</v>
      </c>
      <c r="R36" s="241">
        <v>190</v>
      </c>
      <c r="S36" s="241">
        <v>190</v>
      </c>
      <c r="T36" s="241"/>
      <c r="U36" s="241"/>
      <c r="V36" s="241"/>
      <c r="W36" s="256"/>
      <c r="X36" s="256"/>
      <c r="Y36" s="256"/>
      <c r="Z36" s="256"/>
      <c r="AA36" s="241"/>
      <c r="AB36" s="246"/>
      <c r="AC36" s="247">
        <v>111.26</v>
      </c>
      <c r="AD36" s="247"/>
      <c r="AE36" s="248"/>
      <c r="AF36" s="248"/>
      <c r="AG36" s="247"/>
      <c r="AH36" s="247"/>
      <c r="AI36" s="249"/>
    </row>
    <row r="37" spans="2:35" s="245" customFormat="1" ht="14.25" customHeight="1">
      <c r="B37" s="241"/>
      <c r="C37" s="259" t="s">
        <v>294</v>
      </c>
      <c r="D37" s="241" t="s">
        <v>276</v>
      </c>
      <c r="E37" s="241" t="s">
        <v>272</v>
      </c>
      <c r="F37" s="241">
        <v>117.8</v>
      </c>
      <c r="G37" s="241">
        <v>125</v>
      </c>
      <c r="H37" s="242" t="s">
        <v>275</v>
      </c>
      <c r="I37" s="241"/>
      <c r="J37" s="241"/>
      <c r="K37" s="258"/>
      <c r="L37" s="256"/>
      <c r="M37" s="256"/>
      <c r="N37" s="256"/>
      <c r="O37" s="241"/>
      <c r="P37" s="241"/>
      <c r="Q37" s="254">
        <v>215</v>
      </c>
      <c r="R37" s="244">
        <v>227.5</v>
      </c>
      <c r="S37" s="256"/>
      <c r="T37" s="241"/>
      <c r="U37" s="241"/>
      <c r="V37" s="241"/>
      <c r="W37" s="256"/>
      <c r="X37" s="256"/>
      <c r="Y37" s="256"/>
      <c r="Z37" s="256"/>
      <c r="AA37" s="241"/>
      <c r="AB37" s="246"/>
      <c r="AC37" s="247">
        <v>124.16</v>
      </c>
      <c r="AD37" s="247"/>
      <c r="AE37" s="248"/>
      <c r="AF37" s="248"/>
      <c r="AG37" s="247"/>
      <c r="AH37" s="247"/>
      <c r="AI37" s="249"/>
    </row>
    <row r="38" spans="2:35" s="245" customFormat="1" ht="14.25" customHeight="1">
      <c r="B38" s="241"/>
      <c r="C38" s="240" t="s">
        <v>308</v>
      </c>
      <c r="D38" s="241" t="s">
        <v>276</v>
      </c>
      <c r="E38" s="241" t="s">
        <v>272</v>
      </c>
      <c r="F38" s="241">
        <v>121.4</v>
      </c>
      <c r="G38" s="241">
        <v>125</v>
      </c>
      <c r="H38" s="242" t="s">
        <v>307</v>
      </c>
      <c r="I38" s="241"/>
      <c r="J38" s="241"/>
      <c r="K38" s="256"/>
      <c r="L38" s="256"/>
      <c r="M38" s="256"/>
      <c r="N38" s="256"/>
      <c r="O38" s="241"/>
      <c r="P38" s="241"/>
      <c r="Q38" s="241">
        <v>227.5</v>
      </c>
      <c r="R38" s="241">
        <v>235</v>
      </c>
      <c r="S38" s="241">
        <v>240</v>
      </c>
      <c r="T38" s="244"/>
      <c r="U38" s="241"/>
      <c r="V38" s="241"/>
      <c r="W38" s="256"/>
      <c r="X38" s="256"/>
      <c r="Y38" s="256"/>
      <c r="Z38" s="256"/>
      <c r="AA38" s="241"/>
      <c r="AB38" s="246"/>
      <c r="AC38" s="247">
        <v>137.61</v>
      </c>
      <c r="AD38" s="247"/>
      <c r="AE38" s="248"/>
      <c r="AF38" s="248"/>
      <c r="AG38" s="247"/>
      <c r="AH38" s="247"/>
      <c r="AI38" s="249"/>
    </row>
    <row r="39" spans="2:35" s="245" customFormat="1" ht="14.25" customHeight="1">
      <c r="B39" s="241"/>
      <c r="C39" s="261" t="s">
        <v>320</v>
      </c>
      <c r="D39" s="241" t="s">
        <v>286</v>
      </c>
      <c r="E39" s="241" t="s">
        <v>321</v>
      </c>
      <c r="F39" s="241">
        <v>151.5</v>
      </c>
      <c r="G39" s="241" t="s">
        <v>211</v>
      </c>
      <c r="H39" s="242" t="s">
        <v>275</v>
      </c>
      <c r="I39" s="241"/>
      <c r="J39" s="241"/>
      <c r="K39" s="256"/>
      <c r="L39" s="256"/>
      <c r="M39" s="256"/>
      <c r="N39" s="256"/>
      <c r="O39" s="241"/>
      <c r="P39" s="241"/>
      <c r="Q39" s="254">
        <v>210</v>
      </c>
      <c r="R39" s="254">
        <v>230</v>
      </c>
      <c r="S39" s="244">
        <v>243</v>
      </c>
      <c r="T39" s="241"/>
      <c r="U39" s="241"/>
      <c r="V39" s="241"/>
      <c r="W39" s="256"/>
      <c r="X39" s="256"/>
      <c r="Y39" s="256"/>
      <c r="Z39" s="256"/>
      <c r="AA39" s="241"/>
      <c r="AB39" s="262"/>
      <c r="AC39" s="247">
        <v>127.07</v>
      </c>
      <c r="AD39" s="247"/>
      <c r="AE39" s="248"/>
      <c r="AF39" s="248"/>
      <c r="AG39" s="247"/>
      <c r="AH39" s="247"/>
      <c r="AI39" s="249"/>
    </row>
    <row r="40" spans="2:35" ht="14.25" customHeight="1">
      <c r="B40" s="49"/>
      <c r="C40" s="240" t="s">
        <v>302</v>
      </c>
      <c r="D40" s="241" t="s">
        <v>276</v>
      </c>
      <c r="E40" s="241" t="s">
        <v>280</v>
      </c>
      <c r="F40" s="241">
        <v>121.6</v>
      </c>
      <c r="G40" s="241">
        <v>125</v>
      </c>
      <c r="H40" s="242" t="s">
        <v>275</v>
      </c>
      <c r="I40" s="241"/>
      <c r="J40" s="241"/>
      <c r="K40" s="256"/>
      <c r="L40" s="256"/>
      <c r="M40" s="256"/>
      <c r="O40" s="241"/>
      <c r="P40" s="241"/>
      <c r="Q40" s="254">
        <v>210</v>
      </c>
      <c r="R40" s="244">
        <v>220</v>
      </c>
      <c r="S40" s="244">
        <v>220</v>
      </c>
      <c r="T40" s="241"/>
      <c r="U40" s="241"/>
      <c r="V40" s="241"/>
      <c r="W40" s="256"/>
      <c r="X40" s="256"/>
      <c r="Y40" s="256"/>
      <c r="Z40" s="258"/>
      <c r="AA40" s="241"/>
      <c r="AB40" s="246"/>
      <c r="AC40" s="247">
        <v>120.37</v>
      </c>
      <c r="AD40" s="247"/>
      <c r="AE40" s="105"/>
      <c r="AF40" s="105"/>
      <c r="AG40" s="57"/>
      <c r="AH40" s="57"/>
      <c r="AI40" s="51"/>
    </row>
    <row r="41" spans="2:35" s="245" customFormat="1" ht="14.25" customHeight="1">
      <c r="B41" s="241"/>
      <c r="C41" s="240" t="s">
        <v>306</v>
      </c>
      <c r="D41" s="241" t="s">
        <v>276</v>
      </c>
      <c r="E41" s="241" t="s">
        <v>278</v>
      </c>
      <c r="F41" s="241">
        <v>120.8</v>
      </c>
      <c r="G41" s="241">
        <v>125</v>
      </c>
      <c r="H41" s="242" t="s">
        <v>307</v>
      </c>
      <c r="I41" s="241"/>
      <c r="J41" s="241"/>
      <c r="K41" s="256"/>
      <c r="L41" s="256"/>
      <c r="M41" s="258"/>
      <c r="N41" s="256"/>
      <c r="O41" s="241"/>
      <c r="P41" s="241"/>
      <c r="Q41" s="241">
        <v>240</v>
      </c>
      <c r="R41" s="254">
        <v>255</v>
      </c>
      <c r="S41" s="244">
        <v>260</v>
      </c>
      <c r="T41" s="241"/>
      <c r="U41" s="241"/>
      <c r="V41" s="241"/>
      <c r="W41" s="256"/>
      <c r="X41" s="256"/>
      <c r="Y41" s="258"/>
      <c r="Z41" s="256"/>
      <c r="AA41" s="241"/>
      <c r="AB41" s="246"/>
      <c r="AC41" s="247">
        <v>146.36</v>
      </c>
      <c r="AD41" s="247"/>
      <c r="AE41" s="248"/>
      <c r="AF41" s="248"/>
      <c r="AG41" s="247"/>
      <c r="AH41" s="247"/>
      <c r="AI41" s="249"/>
    </row>
    <row r="42" spans="2:35" s="245" customFormat="1" ht="14.25" customHeight="1">
      <c r="B42" s="241"/>
      <c r="C42" s="240" t="s">
        <v>303</v>
      </c>
      <c r="D42" s="241" t="s">
        <v>276</v>
      </c>
      <c r="E42" s="241" t="s">
        <v>304</v>
      </c>
      <c r="F42" s="241">
        <v>118.8</v>
      </c>
      <c r="G42" s="241">
        <v>125</v>
      </c>
      <c r="H42" s="242" t="s">
        <v>275</v>
      </c>
      <c r="I42" s="241"/>
      <c r="J42" s="241"/>
      <c r="K42" s="256"/>
      <c r="L42" s="256"/>
      <c r="M42" s="256"/>
      <c r="N42" s="256"/>
      <c r="O42" s="241"/>
      <c r="P42" s="241"/>
      <c r="Q42" s="254">
        <v>170</v>
      </c>
      <c r="R42" s="254">
        <v>175</v>
      </c>
      <c r="S42" s="244">
        <v>180</v>
      </c>
      <c r="T42" s="241"/>
      <c r="U42" s="241"/>
      <c r="V42" s="241"/>
      <c r="W42" s="256"/>
      <c r="X42" s="256"/>
      <c r="Y42" s="256"/>
      <c r="Z42" s="256"/>
      <c r="AA42" s="241"/>
      <c r="AB42" s="262"/>
      <c r="AC42" s="247">
        <v>100.85</v>
      </c>
      <c r="AD42" s="247"/>
      <c r="AE42" s="248"/>
      <c r="AF42" s="248"/>
      <c r="AG42" s="247"/>
      <c r="AH42" s="247"/>
      <c r="AI42" s="249"/>
    </row>
    <row r="43" spans="1:35" s="245" customFormat="1" ht="14.25" customHeight="1">
      <c r="A43" s="245">
        <v>215</v>
      </c>
      <c r="B43" s="241"/>
      <c r="C43" s="240"/>
      <c r="D43" s="241"/>
      <c r="E43" s="241"/>
      <c r="F43" s="241"/>
      <c r="G43" s="241"/>
      <c r="H43" s="242"/>
      <c r="I43" s="241"/>
      <c r="J43" s="241"/>
      <c r="K43" s="241"/>
      <c r="L43" s="241"/>
      <c r="M43" s="241"/>
      <c r="N43" s="241"/>
      <c r="O43" s="241"/>
      <c r="P43" s="241"/>
      <c r="Q43" s="241"/>
      <c r="R43" s="244"/>
      <c r="S43" s="255"/>
      <c r="T43" s="241"/>
      <c r="U43" s="241"/>
      <c r="V43" s="241"/>
      <c r="W43" s="241"/>
      <c r="X43" s="241"/>
      <c r="Y43" s="241"/>
      <c r="Z43" s="241"/>
      <c r="AA43" s="241"/>
      <c r="AB43" s="250"/>
      <c r="AC43" s="247"/>
      <c r="AD43" s="247"/>
      <c r="AE43" s="248"/>
      <c r="AF43" s="248"/>
      <c r="AG43" s="247"/>
      <c r="AH43" s="247"/>
      <c r="AI43" s="249"/>
    </row>
    <row r="44" spans="2:35" s="245" customFormat="1" ht="15" customHeight="1">
      <c r="B44" s="241"/>
      <c r="C44" s="240"/>
      <c r="D44" s="241"/>
      <c r="E44" s="241"/>
      <c r="F44" s="241"/>
      <c r="G44" s="241"/>
      <c r="H44" s="242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6"/>
      <c r="AC44" s="247"/>
      <c r="AD44" s="247"/>
      <c r="AE44" s="248"/>
      <c r="AF44" s="248"/>
      <c r="AG44" s="247"/>
      <c r="AH44" s="247"/>
      <c r="AI44" s="249"/>
    </row>
    <row r="45" spans="2:35" s="245" customFormat="1" ht="14.25" customHeight="1">
      <c r="B45" s="241"/>
      <c r="C45" s="240"/>
      <c r="D45" s="241"/>
      <c r="E45" s="241"/>
      <c r="F45" s="241"/>
      <c r="G45" s="241"/>
      <c r="H45" s="24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6"/>
      <c r="AC45" s="247"/>
      <c r="AD45" s="247"/>
      <c r="AE45" s="248"/>
      <c r="AF45" s="248"/>
      <c r="AG45" s="247"/>
      <c r="AH45" s="247"/>
      <c r="AI45" s="249"/>
    </row>
    <row r="46" spans="2:35" s="245" customFormat="1" ht="14.25" customHeight="1">
      <c r="B46" s="241"/>
      <c r="C46" s="240"/>
      <c r="D46" s="241"/>
      <c r="E46" s="241"/>
      <c r="F46" s="241"/>
      <c r="G46" s="241"/>
      <c r="H46" s="242"/>
      <c r="I46" s="241"/>
      <c r="J46" s="241"/>
      <c r="K46" s="241"/>
      <c r="L46" s="241"/>
      <c r="M46" s="241"/>
      <c r="N46" s="241"/>
      <c r="O46" s="241"/>
      <c r="P46" s="241"/>
      <c r="Q46" s="244"/>
      <c r="R46" s="241"/>
      <c r="S46" s="244"/>
      <c r="T46" s="241"/>
      <c r="U46" s="241"/>
      <c r="V46" s="241"/>
      <c r="W46" s="241"/>
      <c r="X46" s="241"/>
      <c r="Y46" s="241"/>
      <c r="Z46" s="241"/>
      <c r="AA46" s="241"/>
      <c r="AB46" s="246"/>
      <c r="AC46" s="247"/>
      <c r="AD46" s="247"/>
      <c r="AE46" s="248"/>
      <c r="AF46" s="248"/>
      <c r="AG46" s="247"/>
      <c r="AH46" s="247"/>
      <c r="AI46" s="249"/>
    </row>
    <row r="47" spans="2:35" s="245" customFormat="1" ht="14.25" customHeight="1">
      <c r="B47" s="241"/>
      <c r="C47" s="240"/>
      <c r="D47" s="241"/>
      <c r="E47" s="241"/>
      <c r="F47" s="241"/>
      <c r="G47" s="241"/>
      <c r="H47" s="242"/>
      <c r="I47" s="241"/>
      <c r="J47" s="241"/>
      <c r="K47" s="244"/>
      <c r="L47" s="241"/>
      <c r="M47" s="24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6"/>
      <c r="AC47" s="247"/>
      <c r="AD47" s="247"/>
      <c r="AE47" s="248"/>
      <c r="AF47" s="248"/>
      <c r="AG47" s="247"/>
      <c r="AH47" s="247"/>
      <c r="AI47" s="249"/>
    </row>
    <row r="48" spans="2:35" ht="14.25" customHeight="1">
      <c r="B48" s="49"/>
      <c r="C48" s="251"/>
      <c r="D48" s="241"/>
      <c r="E48" s="241"/>
      <c r="F48" s="241"/>
      <c r="G48" s="241"/>
      <c r="H48" s="242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4"/>
      <c r="Y48" s="244"/>
      <c r="Z48" s="241"/>
      <c r="AA48" s="241"/>
      <c r="AB48" s="246"/>
      <c r="AC48" s="247"/>
      <c r="AD48" s="247"/>
      <c r="AE48" s="105"/>
      <c r="AF48" s="105"/>
      <c r="AG48" s="57"/>
      <c r="AH48" s="57"/>
      <c r="AI48" s="51"/>
    </row>
    <row r="49" spans="2:35" ht="14.25" customHeight="1">
      <c r="B49" s="49"/>
      <c r="C49" s="240"/>
      <c r="D49" s="241"/>
      <c r="E49" s="241"/>
      <c r="F49" s="241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4"/>
      <c r="X49" s="241"/>
      <c r="Y49" s="241"/>
      <c r="Z49" s="241"/>
      <c r="AA49" s="241"/>
      <c r="AB49" s="246"/>
      <c r="AC49" s="247"/>
      <c r="AD49" s="247"/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s="245" customFormat="1" ht="14.25" customHeight="1">
      <c r="B50" s="241"/>
      <c r="C50" s="240"/>
      <c r="D50" s="241"/>
      <c r="E50" s="241"/>
      <c r="F50" s="241"/>
      <c r="G50" s="241"/>
      <c r="H50" s="242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4"/>
      <c r="Y50" s="241"/>
      <c r="Z50" s="241"/>
      <c r="AA50" s="241"/>
      <c r="AB50" s="246"/>
      <c r="AC50" s="247"/>
      <c r="AD50" s="247"/>
      <c r="AE50" s="248"/>
      <c r="AF50" s="248"/>
      <c r="AG50" s="247"/>
      <c r="AH50" s="247"/>
      <c r="AI50" s="249"/>
    </row>
    <row r="51" spans="2:35" s="245" customFormat="1" ht="14.25" customHeight="1">
      <c r="B51" s="241"/>
      <c r="C51" s="240"/>
      <c r="D51" s="241"/>
      <c r="E51" s="241"/>
      <c r="F51" s="241"/>
      <c r="G51" s="241"/>
      <c r="H51" s="242"/>
      <c r="I51" s="241"/>
      <c r="J51" s="241"/>
      <c r="K51" s="241"/>
      <c r="L51" s="241"/>
      <c r="M51" s="244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6"/>
      <c r="AC51" s="247"/>
      <c r="AD51" s="247"/>
      <c r="AE51" s="248"/>
      <c r="AF51" s="248"/>
      <c r="AG51" s="247"/>
      <c r="AH51" s="247"/>
      <c r="AI51" s="249"/>
    </row>
    <row r="52" spans="2:35" s="245" customFormat="1" ht="14.25" customHeight="1">
      <c r="B52" s="241"/>
      <c r="C52" s="240"/>
      <c r="D52" s="241"/>
      <c r="E52" s="241"/>
      <c r="F52" s="241"/>
      <c r="G52" s="241"/>
      <c r="H52" s="242"/>
      <c r="I52" s="241"/>
      <c r="J52" s="241"/>
      <c r="K52" s="252"/>
      <c r="L52" s="252"/>
      <c r="M52" s="253"/>
      <c r="N52" s="252"/>
      <c r="O52" s="252"/>
      <c r="P52" s="252"/>
      <c r="Q52" s="252"/>
      <c r="R52" s="252"/>
      <c r="S52" s="252"/>
      <c r="T52" s="252"/>
      <c r="U52" s="241"/>
      <c r="V52" s="241"/>
      <c r="W52" s="241"/>
      <c r="X52" s="244"/>
      <c r="Y52" s="241"/>
      <c r="Z52" s="241"/>
      <c r="AA52" s="241"/>
      <c r="AB52" s="246"/>
      <c r="AC52" s="247"/>
      <c r="AD52" s="247"/>
      <c r="AE52" s="248"/>
      <c r="AF52" s="248"/>
      <c r="AG52" s="247"/>
      <c r="AH52" s="247"/>
      <c r="AI52" s="249"/>
    </row>
    <row r="53" spans="2:35" s="245" customFormat="1" ht="14.25" customHeight="1">
      <c r="B53" s="241"/>
      <c r="C53" s="240"/>
      <c r="D53" s="241"/>
      <c r="E53" s="241"/>
      <c r="F53" s="241"/>
      <c r="G53" s="241"/>
      <c r="H53" s="242"/>
      <c r="I53" s="241"/>
      <c r="J53" s="241"/>
      <c r="K53" s="241"/>
      <c r="L53" s="241"/>
      <c r="M53" s="244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4"/>
      <c r="Y53" s="241"/>
      <c r="Z53" s="241"/>
      <c r="AA53" s="241"/>
      <c r="AB53" s="246"/>
      <c r="AC53" s="247"/>
      <c r="AD53" s="247"/>
      <c r="AE53" s="248"/>
      <c r="AF53" s="248"/>
      <c r="AG53" s="247"/>
      <c r="AH53" s="247"/>
      <c r="AI53" s="249"/>
    </row>
    <row r="54" spans="2:35" ht="14.25" customHeight="1">
      <c r="B54" s="49"/>
      <c r="C54" s="240"/>
      <c r="D54" s="241"/>
      <c r="E54" s="241"/>
      <c r="F54" s="241"/>
      <c r="G54" s="241"/>
      <c r="H54" s="242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4"/>
      <c r="Y54" s="244"/>
      <c r="Z54" s="241"/>
      <c r="AA54" s="241"/>
      <c r="AB54" s="246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51"/>
      <c r="D55" s="241"/>
      <c r="E55" s="241"/>
      <c r="F55" s="241"/>
      <c r="G55" s="241"/>
      <c r="H55" s="242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/>
      <c r="Z55" s="241"/>
      <c r="AA55" s="241"/>
      <c r="AB55" s="246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240"/>
      <c r="D56" s="241"/>
      <c r="E56" s="241"/>
      <c r="F56" s="241"/>
      <c r="G56" s="241"/>
      <c r="H56" s="242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6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240"/>
      <c r="D57" s="241"/>
      <c r="E57" s="241"/>
      <c r="F57" s="241"/>
      <c r="G57" s="241"/>
      <c r="H57" s="242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/>
      <c r="Z57" s="241"/>
      <c r="AA57" s="241"/>
      <c r="AB57" s="246"/>
      <c r="AC57" s="57"/>
      <c r="AD57" s="57"/>
      <c r="AE57" s="105"/>
      <c r="AF57" s="105"/>
      <c r="AG57" s="57"/>
      <c r="AH57" s="57"/>
      <c r="AI57" s="51"/>
    </row>
    <row r="58" spans="2:35" ht="12.75" customHeight="1">
      <c r="B58" s="49"/>
      <c r="C58" s="240"/>
      <c r="D58" s="241"/>
      <c r="E58" s="241"/>
      <c r="F58" s="241"/>
      <c r="G58" s="241"/>
      <c r="H58" s="242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6"/>
      <c r="AC58" s="57">
        <v>0</v>
      </c>
      <c r="AD58" s="57">
        <v>0</v>
      </c>
      <c r="AE58" s="105">
        <v>0</v>
      </c>
      <c r="AF58" s="105">
        <v>0</v>
      </c>
      <c r="AG58" s="57">
        <v>0</v>
      </c>
      <c r="AH58" s="57">
        <v>0</v>
      </c>
      <c r="AI58" s="51"/>
    </row>
    <row r="59" spans="2:35" s="245" customFormat="1" ht="14.25" customHeight="1">
      <c r="B59" s="241"/>
      <c r="C59" s="240"/>
      <c r="D59" s="241"/>
      <c r="E59" s="241"/>
      <c r="F59" s="241"/>
      <c r="G59" s="241"/>
      <c r="H59" s="242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6"/>
      <c r="AC59" s="247"/>
      <c r="AD59" s="247"/>
      <c r="AE59" s="248"/>
      <c r="AF59" s="248"/>
      <c r="AG59" s="247"/>
      <c r="AH59" s="247"/>
      <c r="AI59" s="249"/>
    </row>
    <row r="60" spans="2:35" ht="14.25" customHeight="1">
      <c r="B60" s="49"/>
      <c r="C60" s="240"/>
      <c r="D60" s="241"/>
      <c r="E60" s="241"/>
      <c r="F60" s="241"/>
      <c r="G60" s="241"/>
      <c r="H60" s="242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4"/>
      <c r="Z60" s="241"/>
      <c r="AA60" s="241"/>
      <c r="AB60" s="246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0"/>
      <c r="D61" s="241"/>
      <c r="E61" s="241"/>
      <c r="F61" s="241"/>
      <c r="G61" s="241"/>
      <c r="H61" s="242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6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240"/>
      <c r="D62" s="241"/>
      <c r="E62" s="241"/>
      <c r="F62" s="241"/>
      <c r="G62" s="241"/>
      <c r="H62" s="242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49"/>
      <c r="AA62" s="49"/>
      <c r="AB62" s="246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240"/>
      <c r="D63" s="241"/>
      <c r="E63" s="241"/>
      <c r="F63" s="241"/>
      <c r="G63" s="241"/>
      <c r="H63" s="242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49"/>
      <c r="AA63" s="49"/>
      <c r="AB63" s="246"/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0"/>
      <c r="D64" s="241"/>
      <c r="E64" s="241"/>
      <c r="F64" s="241"/>
      <c r="G64" s="241"/>
      <c r="H64" s="242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6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3"/>
      <c r="D65" s="241"/>
      <c r="E65" s="241"/>
      <c r="F65" s="241"/>
      <c r="G65" s="241"/>
      <c r="H65" s="242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49"/>
      <c r="AA65" s="49"/>
      <c r="AB65" s="55" t="s">
        <v>30</v>
      </c>
      <c r="AC65" s="57" t="s">
        <v>30</v>
      </c>
      <c r="AD65" s="57">
        <v>0</v>
      </c>
      <c r="AE65" s="105">
        <v>0</v>
      </c>
      <c r="AF65" s="105">
        <v>0</v>
      </c>
      <c r="AG65" s="57"/>
      <c r="AH65" s="57" t="s">
        <v>30</v>
      </c>
      <c r="AI65" s="51" t="s">
        <v>30</v>
      </c>
    </row>
    <row r="66" spans="2:35" ht="14.25" customHeight="1">
      <c r="B66" s="49"/>
      <c r="C66" s="240"/>
      <c r="D66" s="241"/>
      <c r="E66" s="241"/>
      <c r="F66" s="241"/>
      <c r="G66" s="241"/>
      <c r="H66" s="242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49"/>
      <c r="AA66" s="49"/>
      <c r="AB66" s="55" t="s">
        <v>30</v>
      </c>
      <c r="AC66" s="57" t="s">
        <v>30</v>
      </c>
      <c r="AD66" s="57">
        <v>0</v>
      </c>
      <c r="AE66" s="105">
        <v>0</v>
      </c>
      <c r="AF66" s="105">
        <v>0</v>
      </c>
      <c r="AG66" s="57"/>
      <c r="AH66" s="57" t="s">
        <v>30</v>
      </c>
      <c r="AI66" s="51" t="s">
        <v>30</v>
      </c>
    </row>
    <row r="67" spans="2:35" ht="14.25" customHeight="1">
      <c r="B67" s="49"/>
      <c r="C67" s="240"/>
      <c r="D67" s="241"/>
      <c r="E67" s="241"/>
      <c r="F67" s="241"/>
      <c r="G67" s="241"/>
      <c r="H67" s="242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49"/>
      <c r="AA67" s="49"/>
      <c r="AB67" s="55" t="s">
        <v>30</v>
      </c>
      <c r="AC67" s="57" t="s">
        <v>30</v>
      </c>
      <c r="AD67" s="57">
        <v>0</v>
      </c>
      <c r="AE67" s="105">
        <v>0</v>
      </c>
      <c r="AF67" s="105">
        <v>0</v>
      </c>
      <c r="AG67" s="57"/>
      <c r="AH67" s="57" t="s">
        <v>30</v>
      </c>
      <c r="AI67" s="51" t="s">
        <v>30</v>
      </c>
    </row>
    <row r="68" spans="2:35" ht="14.25" customHeight="1">
      <c r="B68" s="49"/>
      <c r="C68" s="240"/>
      <c r="D68" s="241"/>
      <c r="E68" s="241"/>
      <c r="F68" s="241"/>
      <c r="G68" s="241"/>
      <c r="H68" s="242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49"/>
      <c r="AA68" s="49"/>
      <c r="AB68" s="55" t="s">
        <v>30</v>
      </c>
      <c r="AC68" s="57" t="s">
        <v>30</v>
      </c>
      <c r="AD68" s="57">
        <v>0</v>
      </c>
      <c r="AE68" s="105">
        <v>0</v>
      </c>
      <c r="AF68" s="105">
        <v>0</v>
      </c>
      <c r="AG68" s="57"/>
      <c r="AH68" s="57" t="s">
        <v>30</v>
      </c>
      <c r="AI68" s="51" t="s">
        <v>30</v>
      </c>
    </row>
    <row r="69" spans="2:35" ht="14.25" customHeight="1">
      <c r="B69" s="49"/>
      <c r="C69" s="240"/>
      <c r="D69" s="241"/>
      <c r="E69" s="241"/>
      <c r="F69" s="241"/>
      <c r="G69" s="241"/>
      <c r="H69" s="24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49"/>
      <c r="AA69" s="49"/>
      <c r="AB69" s="55" t="s">
        <v>30</v>
      </c>
      <c r="AC69" s="57" t="s">
        <v>30</v>
      </c>
      <c r="AD69" s="57">
        <v>0</v>
      </c>
      <c r="AE69" s="105">
        <v>0</v>
      </c>
      <c r="AF69" s="105">
        <v>0</v>
      </c>
      <c r="AG69" s="57"/>
      <c r="AH69" s="57" t="s">
        <v>30</v>
      </c>
      <c r="AI69" s="51" t="s">
        <v>30</v>
      </c>
    </row>
    <row r="70" spans="2:35" ht="14.25" customHeight="1">
      <c r="B70" s="49"/>
      <c r="C70" s="240"/>
      <c r="D70" s="241"/>
      <c r="E70" s="241"/>
      <c r="F70" s="241"/>
      <c r="G70" s="241"/>
      <c r="H70" s="242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49"/>
      <c r="AA70" s="49"/>
      <c r="AB70" s="55" t="s">
        <v>30</v>
      </c>
      <c r="AC70" s="57" t="s">
        <v>30</v>
      </c>
      <c r="AD70" s="57">
        <v>0</v>
      </c>
      <c r="AE70" s="105">
        <v>0</v>
      </c>
      <c r="AF70" s="105">
        <v>0</v>
      </c>
      <c r="AG70" s="57"/>
      <c r="AH70" s="57" t="s">
        <v>30</v>
      </c>
      <c r="AI70" s="51" t="s">
        <v>30</v>
      </c>
    </row>
    <row r="71" spans="2:35" ht="14.25" customHeight="1">
      <c r="B71" s="49"/>
      <c r="C71" s="240"/>
      <c r="D71" s="241"/>
      <c r="E71" s="241"/>
      <c r="F71" s="241"/>
      <c r="G71" s="241"/>
      <c r="H71" s="242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49"/>
      <c r="AA71" s="49"/>
      <c r="AB71" s="55" t="s">
        <v>30</v>
      </c>
      <c r="AC71" s="57" t="s">
        <v>30</v>
      </c>
      <c r="AD71" s="57">
        <v>0</v>
      </c>
      <c r="AE71" s="105">
        <v>0</v>
      </c>
      <c r="AF71" s="105">
        <v>0</v>
      </c>
      <c r="AG71" s="57"/>
      <c r="AH71" s="57" t="s">
        <v>30</v>
      </c>
      <c r="AI71" s="51" t="s">
        <v>30</v>
      </c>
    </row>
    <row r="72" spans="2:35" ht="14.25" customHeight="1">
      <c r="B72" s="49"/>
      <c r="C72" s="240"/>
      <c r="D72" s="241"/>
      <c r="E72" s="241"/>
      <c r="F72" s="241"/>
      <c r="G72" s="241"/>
      <c r="H72" s="242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49"/>
      <c r="AA72" s="49"/>
      <c r="AB72" s="55" t="s">
        <v>30</v>
      </c>
      <c r="AC72" s="57" t="s">
        <v>30</v>
      </c>
      <c r="AD72" s="57">
        <v>0</v>
      </c>
      <c r="AE72" s="105">
        <v>0</v>
      </c>
      <c r="AF72" s="105">
        <v>0</v>
      </c>
      <c r="AG72" s="57"/>
      <c r="AH72" s="57" t="s">
        <v>30</v>
      </c>
      <c r="AI72" s="51" t="s">
        <v>30</v>
      </c>
    </row>
    <row r="73" spans="2:35" ht="14.25" customHeight="1">
      <c r="B73" s="49"/>
      <c r="C73" s="240"/>
      <c r="D73" s="241"/>
      <c r="E73" s="241"/>
      <c r="F73" s="241"/>
      <c r="G73" s="241"/>
      <c r="H73" s="242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49"/>
      <c r="AA73" s="49"/>
      <c r="AB73" s="55" t="s">
        <v>30</v>
      </c>
      <c r="AC73" s="57" t="s">
        <v>30</v>
      </c>
      <c r="AD73" s="57">
        <v>0</v>
      </c>
      <c r="AE73" s="105">
        <v>0</v>
      </c>
      <c r="AF73" s="105">
        <v>0</v>
      </c>
      <c r="AG73" s="57"/>
      <c r="AH73" s="57" t="s">
        <v>30</v>
      </c>
      <c r="AI73" s="51" t="s">
        <v>30</v>
      </c>
    </row>
    <row r="74" spans="2:35" ht="14.25" customHeight="1">
      <c r="B74" s="49"/>
      <c r="C74" s="240"/>
      <c r="D74" s="241"/>
      <c r="E74" s="241"/>
      <c r="F74" s="241"/>
      <c r="G74" s="241"/>
      <c r="H74" s="242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240"/>
      <c r="D75" s="241"/>
      <c r="E75" s="241"/>
      <c r="F75" s="241"/>
      <c r="G75" s="241"/>
      <c r="H75" s="242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240"/>
      <c r="D76" s="241"/>
      <c r="E76" s="241"/>
      <c r="F76" s="241"/>
      <c r="G76" s="241"/>
      <c r="H76" s="242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2:35" ht="14.25" customHeight="1">
      <c r="B213" s="49"/>
      <c r="C213" s="59"/>
      <c r="D213" s="49"/>
      <c r="E213" s="49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Z213" s="49"/>
      <c r="AA213" s="49"/>
      <c r="AB213" s="55"/>
      <c r="AC213" s="57"/>
      <c r="AD213" s="57"/>
      <c r="AE213" s="105"/>
      <c r="AF213" s="105"/>
      <c r="AG213" s="57"/>
      <c r="AH213" s="57"/>
      <c r="AI213" s="51"/>
    </row>
    <row r="214" spans="2:35" ht="14.25" customHeight="1">
      <c r="B214" s="49"/>
      <c r="C214" s="59"/>
      <c r="D214" s="49"/>
      <c r="E214" s="49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Z214" s="49"/>
      <c r="AA214" s="49"/>
      <c r="AB214" s="55"/>
      <c r="AC214" s="57"/>
      <c r="AD214" s="57"/>
      <c r="AE214" s="105"/>
      <c r="AF214" s="105"/>
      <c r="AG214" s="57"/>
      <c r="AH214" s="57"/>
      <c r="AI214" s="51"/>
    </row>
    <row r="215" spans="2:35" ht="14.25" customHeight="1">
      <c r="B215" s="49"/>
      <c r="C215" s="59"/>
      <c r="D215" s="49"/>
      <c r="E215" s="49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Z215" s="49"/>
      <c r="AA215" s="49"/>
      <c r="AB215" s="55"/>
      <c r="AC215" s="57"/>
      <c r="AD215" s="57"/>
      <c r="AE215" s="105"/>
      <c r="AF215" s="105"/>
      <c r="AG215" s="57"/>
      <c r="AH215" s="57"/>
      <c r="AI215" s="51"/>
    </row>
    <row r="216" spans="2:35" ht="14.25" customHeight="1">
      <c r="B216" s="49"/>
      <c r="C216" s="59"/>
      <c r="D216" s="49"/>
      <c r="E216" s="49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Z216" s="49"/>
      <c r="AA216" s="49"/>
      <c r="AB216" s="55"/>
      <c r="AC216" s="57"/>
      <c r="AD216" s="57"/>
      <c r="AE216" s="105"/>
      <c r="AF216" s="105"/>
      <c r="AG216" s="57"/>
      <c r="AH216" s="57"/>
      <c r="AI216" s="51"/>
    </row>
    <row r="217" spans="2:35" ht="14.25" customHeight="1">
      <c r="B217" s="49"/>
      <c r="C217" s="59"/>
      <c r="D217" s="49"/>
      <c r="E217" s="49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Z217" s="49"/>
      <c r="AA217" s="49"/>
      <c r="AB217" s="55"/>
      <c r="AC217" s="57"/>
      <c r="AD217" s="57"/>
      <c r="AE217" s="105"/>
      <c r="AF217" s="105"/>
      <c r="AG217" s="57"/>
      <c r="AH217" s="57"/>
      <c r="AI217" s="51"/>
    </row>
    <row r="218" spans="2:35" ht="14.25" customHeight="1">
      <c r="B218" s="49"/>
      <c r="C218" s="59"/>
      <c r="D218" s="49"/>
      <c r="E218" s="49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Z218" s="49"/>
      <c r="AA218" s="49"/>
      <c r="AB218" s="55"/>
      <c r="AC218" s="57"/>
      <c r="AD218" s="57"/>
      <c r="AE218" s="105"/>
      <c r="AF218" s="105"/>
      <c r="AG218" s="57"/>
      <c r="AH218" s="57"/>
      <c r="AI218" s="51"/>
    </row>
    <row r="219" spans="2:35" ht="14.25" customHeight="1">
      <c r="B219" s="49"/>
      <c r="C219" s="59"/>
      <c r="D219" s="49"/>
      <c r="E219" s="49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Z219" s="49"/>
      <c r="AA219" s="49"/>
      <c r="AB219" s="55"/>
      <c r="AC219" s="57"/>
      <c r="AD219" s="57"/>
      <c r="AE219" s="105"/>
      <c r="AF219" s="105"/>
      <c r="AG219" s="57"/>
      <c r="AH219" s="57"/>
      <c r="AI219" s="51"/>
    </row>
    <row r="220" spans="2:35" ht="14.25" customHeight="1">
      <c r="B220" s="49"/>
      <c r="C220" s="59"/>
      <c r="D220" s="49"/>
      <c r="E220" s="49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Z220" s="49"/>
      <c r="AA220" s="49"/>
      <c r="AB220" s="55"/>
      <c r="AC220" s="57"/>
      <c r="AD220" s="57"/>
      <c r="AE220" s="105"/>
      <c r="AF220" s="105"/>
      <c r="AG220" s="57"/>
      <c r="AH220" s="57"/>
      <c r="AI220" s="51"/>
    </row>
    <row r="221" spans="2:35" ht="14.25" customHeight="1">
      <c r="B221" s="49"/>
      <c r="C221" s="59"/>
      <c r="D221" s="49"/>
      <c r="E221" s="49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Z221" s="49"/>
      <c r="AA221" s="49"/>
      <c r="AB221" s="55"/>
      <c r="AC221" s="57"/>
      <c r="AD221" s="57"/>
      <c r="AE221" s="105"/>
      <c r="AF221" s="105"/>
      <c r="AG221" s="57"/>
      <c r="AH221" s="57"/>
      <c r="AI221" s="51"/>
    </row>
    <row r="222" spans="2:35" ht="14.25" customHeight="1">
      <c r="B222" s="49"/>
      <c r="C222" s="59"/>
      <c r="D222" s="49"/>
      <c r="E222" s="49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Z222" s="49"/>
      <c r="AA222" s="49"/>
      <c r="AB222" s="55"/>
      <c r="AC222" s="57"/>
      <c r="AD222" s="57"/>
      <c r="AE222" s="105"/>
      <c r="AF222" s="105"/>
      <c r="AG222" s="57"/>
      <c r="AH222" s="57"/>
      <c r="AI222" s="51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  <row r="474" spans="17:19" ht="11.25">
      <c r="Q474" s="49"/>
      <c r="R474" s="49"/>
      <c r="S474" s="49"/>
    </row>
    <row r="475" spans="17:19" ht="11.25">
      <c r="Q475" s="49"/>
      <c r="R475" s="49"/>
      <c r="S475" s="49"/>
    </row>
    <row r="476" spans="17:19" ht="11.25">
      <c r="Q476" s="49"/>
      <c r="R476" s="49"/>
      <c r="S476" s="49"/>
    </row>
    <row r="477" spans="17:19" ht="11.25">
      <c r="Q477" s="49"/>
      <c r="R477" s="49"/>
      <c r="S477" s="49"/>
    </row>
    <row r="478" spans="17:19" ht="11.25">
      <c r="Q478" s="49"/>
      <c r="R478" s="49"/>
      <c r="S478" s="49"/>
    </row>
    <row r="479" spans="17:19" ht="11.25">
      <c r="Q479" s="49"/>
      <c r="R479" s="49"/>
      <c r="S479" s="49"/>
    </row>
    <row r="480" spans="17:19" ht="11.25">
      <c r="Q480" s="49"/>
      <c r="R480" s="49"/>
      <c r="S480" s="49"/>
    </row>
    <row r="481" spans="17:19" ht="11.25">
      <c r="Q481" s="49"/>
      <c r="R481" s="49"/>
      <c r="S481" s="49"/>
    </row>
    <row r="482" spans="17:19" ht="11.25">
      <c r="Q482" s="49"/>
      <c r="R482" s="49"/>
      <c r="S482" s="49"/>
    </row>
    <row r="483" spans="17:19" ht="11.25">
      <c r="Q483" s="49"/>
      <c r="R483" s="49"/>
      <c r="S483" s="49"/>
    </row>
  </sheetData>
  <sheetProtection/>
  <mergeCells count="1">
    <mergeCell ref="D1:AI1"/>
  </mergeCells>
  <conditionalFormatting sqref="AC42 Z42:AA42 AC39 Q484:S65536 K223:P65536 Z39:AA39 Z40:AB41 Z43:AB65536 AC6 Z6:AA6 Q11 Z3:AB5 K2:AB2 Z7:AB38 T3:V65536 O3:P222 N3:N39 N41:N222 BC1">
    <cfRule type="cellIs" priority="3" dxfId="7" operator="lessThan" stopIfTrue="1">
      <formula>0</formula>
    </cfRule>
  </conditionalFormatting>
  <conditionalFormatting sqref="Q3:S483">
    <cfRule type="cellIs" priority="6" dxfId="2" operator="lessThan" stopIfTrue="1">
      <formula>0</formula>
    </cfRule>
    <cfRule type="expression" priority="7" dxfId="1" stopIfTrue="1">
      <formula>AND(Q3&gt;0,Q3&lt;=$U3)</formula>
    </cfRule>
  </conditionalFormatting>
  <conditionalFormatting sqref="K3:M222">
    <cfRule type="cellIs" priority="8" dxfId="2" operator="lessThan" stopIfTrue="1">
      <formula>0</formula>
    </cfRule>
    <cfRule type="expression" priority="9" dxfId="1" stopIfTrue="1">
      <formula>AND(K3&gt;0,K3&lt;=$O3)</formula>
    </cfRule>
  </conditionalFormatting>
  <conditionalFormatting sqref="W3:Y65536">
    <cfRule type="cellIs" priority="14" dxfId="2" operator="lessThan" stopIfTrue="1">
      <formula>0</formula>
    </cfRule>
    <cfRule type="expression" priority="15" dxfId="1" stopIfTrue="1">
      <formula>AND(W3&gt;0,W3&lt;=$AA3)</formula>
    </cfRule>
  </conditionalFormatting>
  <conditionalFormatting sqref="AC2:AH2 H2:J2">
    <cfRule type="cellIs" priority="2185" dxfId="0" operator="equal" stopIfTrue="1">
      <formula>$B$31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199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7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0" customWidth="1"/>
    <col min="2" max="2" width="5.7109375" style="193" customWidth="1"/>
    <col min="3" max="3" width="0.136718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125" style="194" customWidth="1"/>
    <col min="12" max="13" width="9.140625" style="190" hidden="1" customWidth="1"/>
    <col min="14" max="14" width="0" style="190" hidden="1" customWidth="1"/>
    <col min="15" max="17" width="9.140625" style="190" hidden="1" customWidth="1"/>
    <col min="18" max="18" width="0" style="190" hidden="1" customWidth="1"/>
    <col min="19" max="16384" width="9.140625" style="190" customWidth="1"/>
  </cols>
  <sheetData>
    <row r="1" spans="1:13" s="184" customFormat="1" ht="25.5" customHeight="1">
      <c r="A1" s="180" t="s">
        <v>185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186</v>
      </c>
      <c r="L1" s="183">
        <f>K2+B2*B1+C2*C1+D2*D1+E2*E1+F2*F1+G2*G1+H2*H1+I2*I1+J2*J1</f>
        <v>630</v>
      </c>
      <c r="M1" s="183"/>
    </row>
    <row r="2" spans="1:17" ht="12.75" customHeight="1">
      <c r="A2" s="185" t="s">
        <v>76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32.5</v>
      </c>
      <c r="L2" s="189" t="s">
        <v>187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>
      <c r="A3" s="191" t="s">
        <v>188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189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>
      <c r="A4" s="191">
        <f>IF(M4+$K$2&gt;$L$1,0,M4+$K$2)</f>
        <v>32.5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>
        <f>IF($K$2+2*(B4*$B$2+C4*$C$2+D4*$D$2+E4*$E$2+F4*$F$2+G4*$G$2+H4*$H$2+I4*$I$2+J4*$J$2)=A4,"","Not enough weight for this load")</f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>
      <c r="A5" s="191">
        <f aca="true" t="shared" si="0" ref="A5:A68">IF(M5+$K$2&gt;$L$1,0,M5+$K$2)</f>
        <v>35</v>
      </c>
      <c r="B5" s="186">
        <f aca="true" t="shared" si="1" ref="B5:B68">IF(A5=0,0,MIN($B$1/2,INT(M5/(2*$B$2))))</f>
        <v>0</v>
      </c>
      <c r="C5" s="187">
        <f aca="true" t="shared" si="2" ref="C5:C68">IF(A5=0,0,MIN($C$1/2,INT(($M5-2*$B5*$B$2)/(2*$C$2))))</f>
        <v>0</v>
      </c>
      <c r="D5" s="186">
        <f aca="true" t="shared" si="3" ref="D5:D68">IF(A5=0,0,MIN($D$1/2,INT(($M5-2*$B5*$B$2-2*$C5*$C$2)/(2*$D$2))))</f>
        <v>0</v>
      </c>
      <c r="E5" s="187">
        <f aca="true" t="shared" si="4" ref="E5:E68">IF(A5=0,0,MIN($E$1/2,INT(($M5-2*$B5*$B$2-2*$C5*$C$2-2*$D5*$D$2)/(2*$E$2))))</f>
        <v>0</v>
      </c>
      <c r="F5" s="186">
        <f aca="true" t="shared" si="5" ref="F5:F68">IF(A5=0,0,MIN($F$1/2,INT(($M5-2*$B5*$B$2-2*$C5*$C$2-2*$D5*$D$2-2*$E5*$E$2)/(2*$F$2))))</f>
        <v>0</v>
      </c>
      <c r="G5" s="187">
        <f aca="true" t="shared" si="6" ref="G5:G68">IF(A5=0,0,MIN($G$1/2,INT(($M5-2*$B5*$B$2-2*$C5*$C$2-2*$D5*$D$2-2*$E5*$E$2-2*$F5*$F$2)/(2*$G$2))))</f>
        <v>0</v>
      </c>
      <c r="H5" s="186">
        <f aca="true" t="shared" si="7" ref="H5:H68">IF(A5=0,0,MIN($H$1/2,INT(($M5-2*$B5*$B$2-2*$C5*$C$2-2*$D5*$D$2-2*$E5*$E$2-2*$F5*$F$2-2*$G5*$G$2)/(2*$H$2))))</f>
        <v>0</v>
      </c>
      <c r="I5" s="187">
        <f aca="true" t="shared" si="8" ref="I5:I68">IF(A5=0,0,MIN($I$1/2,INT(($M5-2*$B5*$B$2-2*$C5*$C$2-2*$D5*$D$2-2*$E5*$E$2-2*$F5*$F$2-2*$G5*$G$2-2*$H5*$H$2)/(2*$I$2))))</f>
        <v>0</v>
      </c>
      <c r="J5" s="186">
        <f aca="true" t="shared" si="9" ref="J5:J68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aca="true" t="shared" si="10" ref="M5:M68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>
      <c r="A6" s="191">
        <f t="shared" si="0"/>
        <v>37.5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3" ht="12.75" customHeight="1">
      <c r="A7" s="191">
        <f t="shared" si="0"/>
        <v>40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</row>
    <row r="8" spans="1:13" ht="12.75" customHeight="1">
      <c r="A8" s="191">
        <f t="shared" si="0"/>
        <v>42.5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3" ht="12.75" customHeight="1">
      <c r="A9" s="191">
        <f t="shared" si="0"/>
        <v>45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3" ht="12.75" customHeight="1">
      <c r="A10" s="191">
        <f t="shared" si="0"/>
        <v>47.5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3" ht="12.75" customHeight="1">
      <c r="A11" s="191">
        <f t="shared" si="0"/>
        <v>50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3" ht="12.75" customHeight="1">
      <c r="A12" s="191">
        <f t="shared" si="0"/>
        <v>52.5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3" ht="12.75" customHeight="1">
      <c r="A13" s="191">
        <f t="shared" si="0"/>
        <v>55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aca="true" t="shared" si="11" ref="L13:L76">L12+1</f>
        <v>9</v>
      </c>
      <c r="M13" s="189">
        <f t="shared" si="10"/>
        <v>22.5</v>
      </c>
    </row>
    <row r="14" spans="1:13" ht="12.75" customHeight="1">
      <c r="A14" s="191">
        <f t="shared" si="0"/>
        <v>57.5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3" ht="12.75" customHeight="1">
      <c r="A15" s="191">
        <f t="shared" si="0"/>
        <v>60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3" ht="12.75" customHeight="1">
      <c r="A16" s="191">
        <f t="shared" si="0"/>
        <v>62.5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>
      <c r="A17" s="191">
        <f t="shared" si="0"/>
        <v>65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>
      <c r="A18" s="191">
        <f t="shared" si="0"/>
        <v>67.5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>
      <c r="A19" s="191">
        <f t="shared" si="0"/>
        <v>70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>
      <c r="A20" s="191">
        <f t="shared" si="0"/>
        <v>72.5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>
      <c r="A21" s="191">
        <f t="shared" si="0"/>
        <v>75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>
      <c r="A22" s="191">
        <f t="shared" si="0"/>
        <v>77.5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>
      <c r="A23" s="191">
        <f t="shared" si="0"/>
        <v>80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>
      <c r="A24" s="191">
        <f t="shared" si="0"/>
        <v>82.5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>
      <c r="A25" s="191">
        <f t="shared" si="0"/>
        <v>85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>
      <c r="A26" s="191">
        <f t="shared" si="0"/>
        <v>87.5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>
      <c r="A27" s="191">
        <f t="shared" si="0"/>
        <v>90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>
      <c r="A28" s="191">
        <f t="shared" si="0"/>
        <v>92.5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>
      <c r="A29" s="191">
        <f t="shared" si="0"/>
        <v>95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>
      <c r="A30" s="191">
        <f t="shared" si="0"/>
        <v>97.5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>
      <c r="A31" s="191">
        <f t="shared" si="0"/>
        <v>100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>
      <c r="A32" s="191">
        <f t="shared" si="0"/>
        <v>102.5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>
      <c r="A33" s="191">
        <f t="shared" si="0"/>
        <v>105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>
      <c r="A34" s="191">
        <f t="shared" si="0"/>
        <v>107.5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>
      <c r="A35" s="191">
        <f t="shared" si="0"/>
        <v>110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>
      <c r="A36" s="191">
        <f t="shared" si="0"/>
        <v>112.5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>
      <c r="A37" s="191">
        <f t="shared" si="0"/>
        <v>115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>
      <c r="A38" s="191">
        <f t="shared" si="0"/>
        <v>117.5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>
      <c r="A39" s="191">
        <f t="shared" si="0"/>
        <v>120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>
      <c r="A40" s="191">
        <f t="shared" si="0"/>
        <v>122.5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>
      <c r="A41" s="191">
        <f t="shared" si="0"/>
        <v>125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>
      <c r="A42" s="191">
        <f t="shared" si="0"/>
        <v>127.5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>
      <c r="A43" s="191">
        <f t="shared" si="0"/>
        <v>130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>
      <c r="A44" s="191">
        <f t="shared" si="0"/>
        <v>132.5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>
      <c r="A45" s="191">
        <f t="shared" si="0"/>
        <v>135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>
      <c r="A46" s="191">
        <f t="shared" si="0"/>
        <v>137.5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>
      <c r="A47" s="191">
        <f t="shared" si="0"/>
        <v>140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>
      <c r="A48" s="191">
        <f t="shared" si="0"/>
        <v>142.5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>
      <c r="A49" s="191">
        <f t="shared" si="0"/>
        <v>145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>
      <c r="A50" s="191">
        <f t="shared" si="0"/>
        <v>147.5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>
      <c r="A51" s="191">
        <f t="shared" si="0"/>
        <v>150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>
      <c r="A52" s="191">
        <f t="shared" si="0"/>
        <v>152.5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>
      <c r="A53" s="191">
        <f t="shared" si="0"/>
        <v>155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>
      <c r="A54" s="191">
        <f t="shared" si="0"/>
        <v>157.5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>
      <c r="A55" s="191">
        <f t="shared" si="0"/>
        <v>160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>
      <c r="A56" s="191">
        <f t="shared" si="0"/>
        <v>162.5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>
      <c r="A57" s="191">
        <f t="shared" si="0"/>
        <v>165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>
      <c r="A58" s="191">
        <f t="shared" si="0"/>
        <v>167.5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>
      <c r="A59" s="191">
        <f t="shared" si="0"/>
        <v>170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>
      <c r="A60" s="191">
        <f t="shared" si="0"/>
        <v>172.5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>
      <c r="A61" s="191">
        <f t="shared" si="0"/>
        <v>175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>
      <c r="A62" s="191">
        <f t="shared" si="0"/>
        <v>177.5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>
      <c r="A63" s="191">
        <f t="shared" si="0"/>
        <v>180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>
      <c r="A64" s="191">
        <f t="shared" si="0"/>
        <v>182.5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>
      <c r="A65" s="191">
        <f t="shared" si="0"/>
        <v>185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>
      <c r="A66" s="191">
        <f t="shared" si="0"/>
        <v>187.5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>
      <c r="A67" s="191">
        <f t="shared" si="0"/>
        <v>190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>
      <c r="A68" s="191">
        <f t="shared" si="0"/>
        <v>192.5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>
      <c r="A69" s="191">
        <f aca="true" t="shared" si="12" ref="A69:A132">IF(M69+$K$2&gt;$L$1,0,M69+$K$2)</f>
        <v>195</v>
      </c>
      <c r="B69" s="186">
        <f aca="true" t="shared" si="13" ref="B69:B132">IF(A69=0,0,MIN($B$1/2,INT(M69/(2*$B$2))))</f>
        <v>1</v>
      </c>
      <c r="C69" s="187">
        <f aca="true" t="shared" si="14" ref="C69:C132">IF(A69=0,0,MIN($C$1/2,INT(($M69-2*$B69*$B$2)/(2*$C$2))))</f>
        <v>0</v>
      </c>
      <c r="D69" s="186">
        <f aca="true" t="shared" si="15" ref="D69:D132">IF(A69=0,0,MIN($D$1/2,INT(($M69-2*$B69*$B$2-2*$C69*$C$2)/(2*$D$2))))</f>
        <v>0</v>
      </c>
      <c r="E69" s="187">
        <f aca="true" t="shared" si="16" ref="E69:E132">IF(A69=0,0,MIN($E$1/2,INT(($M69-2*$B69*$B$2-2*$C69*$C$2-2*$D69*$D$2)/(2*$E$2))))</f>
        <v>1</v>
      </c>
      <c r="F69" s="186">
        <f aca="true" t="shared" si="17" ref="F69:F132">IF(A69=0,0,MIN($F$1/2,INT(($M69-2*$B69*$B$2-2*$C69*$C$2-2*$D69*$D$2-2*$E69*$E$2)/(2*$F$2))))</f>
        <v>0</v>
      </c>
      <c r="G69" s="187">
        <f aca="true" t="shared" si="18" ref="G69:G132">IF(A69=0,0,MIN($G$1/2,INT(($M69-2*$B69*$B$2-2*$C69*$C$2-2*$D69*$D$2-2*$E69*$E$2-2*$F69*$F$2)/(2*$G$2))))</f>
        <v>1</v>
      </c>
      <c r="H69" s="186">
        <f aca="true" t="shared" si="19" ref="H69:H132">IF(A69=0,0,MIN($H$1/2,INT(($M69-2*$B69*$B$2-2*$C69*$C$2-2*$D69*$D$2-2*$E69*$E$2-2*$F69*$F$2-2*$G69*$G$2)/(2*$H$2))))</f>
        <v>0</v>
      </c>
      <c r="I69" s="187">
        <f aca="true" t="shared" si="20" ref="I69:I132">IF(A69=0,0,MIN($I$1/2,INT(($M69-2*$B69*$B$2-2*$C69*$C$2-2*$D69*$D$2-2*$E69*$E$2-2*$F69*$F$2-2*$G69*$G$2-2*$H69*$H$2)/(2*$I$2))))</f>
        <v>0</v>
      </c>
      <c r="J69" s="186">
        <f aca="true" t="shared" si="21" ref="J69:J132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aca="true" t="shared" si="22" ref="M69:M132">IF($A$2="Pounds",5*L69,2.5*L69)</f>
        <v>162.5</v>
      </c>
    </row>
    <row r="70" spans="1:13" ht="12.75" customHeight="1">
      <c r="A70" s="191">
        <f t="shared" si="12"/>
        <v>197.5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>
      <c r="A71" s="191">
        <f t="shared" si="12"/>
        <v>200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>
      <c r="A72" s="191">
        <f t="shared" si="12"/>
        <v>202.5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>
      <c r="A73" s="191">
        <f t="shared" si="12"/>
        <v>205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>
      <c r="A74" s="191">
        <f t="shared" si="12"/>
        <v>207.5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>
      <c r="A75" s="191">
        <f t="shared" si="12"/>
        <v>210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>
      <c r="A76" s="191">
        <f t="shared" si="12"/>
        <v>212.5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>
      <c r="A77" s="191">
        <f t="shared" si="12"/>
        <v>215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aca="true" t="shared" si="23" ref="L77:L140">L76+1</f>
        <v>73</v>
      </c>
      <c r="M77" s="189">
        <f t="shared" si="22"/>
        <v>182.5</v>
      </c>
    </row>
    <row r="78" spans="1:13" ht="12.75" customHeight="1">
      <c r="A78" s="191">
        <f t="shared" si="12"/>
        <v>217.5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>
      <c r="A79" s="191">
        <f t="shared" si="12"/>
        <v>220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>
      <c r="A80" s="191">
        <f t="shared" si="12"/>
        <v>222.5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>
      <c r="A81" s="191">
        <f t="shared" si="12"/>
        <v>225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>
      <c r="A82" s="191">
        <f t="shared" si="12"/>
        <v>227.5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>
      <c r="A83" s="191">
        <f t="shared" si="12"/>
        <v>230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>
      <c r="A84" s="191">
        <f t="shared" si="12"/>
        <v>232.5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>
      <c r="A85" s="191">
        <f t="shared" si="12"/>
        <v>235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>
      <c r="A86" s="191">
        <f t="shared" si="12"/>
        <v>237.5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>
      <c r="A87" s="191">
        <f t="shared" si="12"/>
        <v>240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>
      <c r="A88" s="191">
        <f t="shared" si="12"/>
        <v>242.5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>
      <c r="A89" s="191">
        <f t="shared" si="12"/>
        <v>245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>
      <c r="A90" s="191">
        <f t="shared" si="12"/>
        <v>247.5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>
      <c r="A91" s="191">
        <f t="shared" si="12"/>
        <v>250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>
      <c r="A92" s="191">
        <f t="shared" si="12"/>
        <v>252.5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>
      <c r="A93" s="191">
        <f t="shared" si="12"/>
        <v>255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>
      <c r="A94" s="191">
        <f t="shared" si="12"/>
        <v>257.5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>
      <c r="A95" s="191">
        <f t="shared" si="12"/>
        <v>260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>
      <c r="A96" s="191">
        <f t="shared" si="12"/>
        <v>262.5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>
      <c r="A97" s="191">
        <f t="shared" si="12"/>
        <v>265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>
      <c r="A98" s="191">
        <f t="shared" si="12"/>
        <v>267.5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>
      <c r="A99" s="191">
        <f t="shared" si="12"/>
        <v>270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>
      <c r="A100" s="191">
        <f t="shared" si="12"/>
        <v>272.5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>
      <c r="A101" s="191">
        <f t="shared" si="12"/>
        <v>275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>
      <c r="A102" s="191">
        <f t="shared" si="12"/>
        <v>277.5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>
      <c r="A103" s="191">
        <f t="shared" si="12"/>
        <v>280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>
      <c r="A104" s="191">
        <f t="shared" si="12"/>
        <v>282.5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>
      <c r="A105" s="191">
        <f t="shared" si="12"/>
        <v>285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>
      <c r="A106" s="191">
        <f t="shared" si="12"/>
        <v>287.5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>
      <c r="A107" s="191">
        <f t="shared" si="12"/>
        <v>290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>
      <c r="A108" s="191">
        <f t="shared" si="12"/>
        <v>292.5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>
      <c r="A109" s="191">
        <f t="shared" si="12"/>
        <v>295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>
      <c r="A110" s="191">
        <f t="shared" si="12"/>
        <v>297.5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>
      <c r="A111" s="191">
        <f t="shared" si="12"/>
        <v>300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>
      <c r="A112" s="191">
        <f t="shared" si="12"/>
        <v>302.5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>
      <c r="A113" s="191">
        <f t="shared" si="12"/>
        <v>305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>
      <c r="A114" s="191">
        <f t="shared" si="12"/>
        <v>307.5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>
      <c r="A115" s="191">
        <f t="shared" si="12"/>
        <v>310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>
      <c r="A116" s="191">
        <f t="shared" si="12"/>
        <v>312.5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>
      <c r="A117" s="191">
        <f t="shared" si="12"/>
        <v>315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>
      <c r="A118" s="191">
        <f t="shared" si="12"/>
        <v>317.5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>
      <c r="A119" s="191">
        <f t="shared" si="12"/>
        <v>320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>
      <c r="A120" s="191">
        <f t="shared" si="12"/>
        <v>322.5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>
      <c r="A121" s="191">
        <f t="shared" si="12"/>
        <v>325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>
      <c r="A122" s="191">
        <f t="shared" si="12"/>
        <v>327.5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>
      <c r="A123" s="191">
        <f t="shared" si="12"/>
        <v>330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>
      <c r="A124" s="191">
        <f t="shared" si="12"/>
        <v>332.5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>
      <c r="A125" s="191">
        <f t="shared" si="12"/>
        <v>335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>
      <c r="A126" s="191">
        <f t="shared" si="12"/>
        <v>337.5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>
      <c r="A127" s="191">
        <f t="shared" si="12"/>
        <v>340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>
      <c r="A128" s="191">
        <f t="shared" si="12"/>
        <v>342.5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>
      <c r="A129" s="191">
        <f t="shared" si="12"/>
        <v>345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>
      <c r="A130" s="191">
        <f t="shared" si="12"/>
        <v>347.5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>
      <c r="A131" s="191">
        <f t="shared" si="12"/>
        <v>350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>
      <c r="A132" s="191">
        <f t="shared" si="12"/>
        <v>352.5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>
      <c r="A133" s="191">
        <f aca="true" t="shared" si="24" ref="A133:A196">IF(M133+$K$2&gt;$L$1,0,M133+$K$2)</f>
        <v>355</v>
      </c>
      <c r="B133" s="186">
        <f aca="true" t="shared" si="25" ref="B133:B196">IF(A133=0,0,MIN($B$1/2,INT(M133/(2*$B$2))))</f>
        <v>2</v>
      </c>
      <c r="C133" s="187">
        <f aca="true" t="shared" si="26" ref="C133:C196">IF(A133=0,0,MIN($C$1/2,INT(($M133-2*$B133*$B$2)/(2*$C$2))))</f>
        <v>0</v>
      </c>
      <c r="D133" s="186">
        <f aca="true" t="shared" si="27" ref="D133:D196">IF(A133=0,0,MIN($D$1/2,INT(($M133-2*$B133*$B$2-2*$C133*$C$2)/(2*$D$2))))</f>
        <v>0</v>
      </c>
      <c r="E133" s="187">
        <f aca="true" t="shared" si="28" ref="E133:E196">IF(A133=0,0,MIN($E$1/2,INT(($M133-2*$B133*$B$2-2*$C133*$C$2-2*$D133*$D$2)/(2*$E$2))))</f>
        <v>3</v>
      </c>
      <c r="F133" s="186">
        <f aca="true" t="shared" si="29" ref="F133:F196">IF(A133=0,0,MIN($F$1/2,INT(($M133-2*$B133*$B$2-2*$C133*$C$2-2*$D133*$D$2-2*$E133*$E$2)/(2*$F$2))))</f>
        <v>0</v>
      </c>
      <c r="G133" s="187">
        <f aca="true" t="shared" si="30" ref="G133:G196">IF(A133=0,0,MIN($G$1/2,INT(($M133-2*$B133*$B$2-2*$C133*$C$2-2*$D133*$D$2-2*$E133*$E$2-2*$F133*$F$2)/(2*$G$2))))</f>
        <v>0</v>
      </c>
      <c r="H133" s="186">
        <f aca="true" t="shared" si="31" ref="H133:H196">IF(A133=0,0,MIN($H$1/2,INT(($M133-2*$B133*$B$2-2*$C133*$C$2-2*$D133*$D$2-2*$E133*$E$2-2*$F133*$F$2-2*$G133*$G$2)/(2*$H$2))))</f>
        <v>0</v>
      </c>
      <c r="I133" s="187">
        <f aca="true" t="shared" si="32" ref="I133:I196">IF(A133=0,0,MIN($I$1/2,INT(($M133-2*$B133*$B$2-2*$C133*$C$2-2*$D133*$D$2-2*$E133*$E$2-2*$F133*$F$2-2*$G133*$G$2-2*$H133*$H$2)/(2*$I$2))))</f>
        <v>0</v>
      </c>
      <c r="J133" s="186">
        <f aca="true" t="shared" si="33" ref="J133:J196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aca="true" t="shared" si="34" ref="M133:M196">IF($A$2="Pounds",5*L133,2.5*L133)</f>
        <v>322.5</v>
      </c>
    </row>
    <row r="134" spans="1:13" ht="12.75" customHeight="1">
      <c r="A134" s="191">
        <f t="shared" si="24"/>
        <v>357.5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>
      <c r="A135" s="191">
        <f t="shared" si="24"/>
        <v>360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>
      <c r="A136" s="191">
        <f t="shared" si="24"/>
        <v>362.5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>
      <c r="A137" s="191">
        <f t="shared" si="24"/>
        <v>365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>
      <c r="A138" s="191">
        <f t="shared" si="24"/>
        <v>367.5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>
      <c r="A139" s="191">
        <f t="shared" si="24"/>
        <v>370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>
      <c r="A140" s="191">
        <f t="shared" si="24"/>
        <v>372.5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>
      <c r="A141" s="191">
        <f t="shared" si="24"/>
        <v>375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aca="true" t="shared" si="35" ref="L141:L204">L140+1</f>
        <v>137</v>
      </c>
      <c r="M141" s="189">
        <f t="shared" si="34"/>
        <v>342.5</v>
      </c>
    </row>
    <row r="142" spans="1:13" ht="12.75" customHeight="1">
      <c r="A142" s="191">
        <f t="shared" si="24"/>
        <v>377.5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>
      <c r="A143" s="191">
        <f t="shared" si="24"/>
        <v>380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>
      <c r="A144" s="191">
        <f t="shared" si="24"/>
        <v>382.5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>
      <c r="A145" s="191">
        <f t="shared" si="24"/>
        <v>385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>
      <c r="A146" s="191">
        <f t="shared" si="24"/>
        <v>387.5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>
      <c r="A147" s="191">
        <f t="shared" si="24"/>
        <v>390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>
      <c r="A148" s="191">
        <f t="shared" si="24"/>
        <v>392.5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>
      <c r="A149" s="191">
        <f t="shared" si="24"/>
        <v>395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>
      <c r="A150" s="191">
        <f t="shared" si="24"/>
        <v>397.5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>
      <c r="A151" s="191">
        <f t="shared" si="24"/>
        <v>400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>
      <c r="A152" s="191">
        <f t="shared" si="24"/>
        <v>402.5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>
      <c r="A153" s="191">
        <f t="shared" si="24"/>
        <v>405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>
      <c r="A154" s="191">
        <f t="shared" si="24"/>
        <v>407.5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>
      <c r="A155" s="191">
        <f t="shared" si="24"/>
        <v>410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>
      <c r="A156" s="191">
        <f t="shared" si="24"/>
        <v>412.5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>
      <c r="A157" s="191">
        <f t="shared" si="24"/>
        <v>415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>
      <c r="A158" s="191">
        <f t="shared" si="24"/>
        <v>417.5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>
      <c r="A159" s="191">
        <f t="shared" si="24"/>
        <v>420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>
      <c r="A160" s="191">
        <f t="shared" si="24"/>
        <v>422.5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>
      <c r="A161" s="191">
        <f t="shared" si="24"/>
        <v>425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>
      <c r="A162" s="191">
        <f t="shared" si="24"/>
        <v>427.5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>
      <c r="A163" s="191">
        <f t="shared" si="24"/>
        <v>430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>
      <c r="A164" s="191">
        <f t="shared" si="24"/>
        <v>432.5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>
      <c r="A165" s="191">
        <f t="shared" si="24"/>
        <v>435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>
      <c r="A166" s="191">
        <f t="shared" si="24"/>
        <v>437.5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>
      <c r="A167" s="191">
        <f t="shared" si="24"/>
        <v>440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>
      <c r="A168" s="191">
        <f t="shared" si="24"/>
        <v>442.5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>
      <c r="A169" s="191">
        <f t="shared" si="24"/>
        <v>445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>
      <c r="A170" s="191">
        <f t="shared" si="24"/>
        <v>447.5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>
      <c r="A171" s="191">
        <f t="shared" si="24"/>
        <v>450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>
      <c r="A172" s="191">
        <f t="shared" si="24"/>
        <v>452.5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>
      <c r="A173" s="191">
        <f t="shared" si="24"/>
        <v>455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>
      <c r="A174" s="191">
        <f t="shared" si="24"/>
        <v>457.5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>
      <c r="A175" s="191">
        <f t="shared" si="24"/>
        <v>460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>
      <c r="A176" s="191">
        <f t="shared" si="24"/>
        <v>462.5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>
      <c r="A177" s="191">
        <f t="shared" si="24"/>
        <v>465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>
      <c r="A178" s="191">
        <f t="shared" si="24"/>
        <v>467.5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>
      <c r="A179" s="191">
        <f t="shared" si="24"/>
        <v>470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>
      <c r="A180" s="191">
        <f t="shared" si="24"/>
        <v>472.5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>
      <c r="A181" s="191">
        <f t="shared" si="24"/>
        <v>475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>
      <c r="A182" s="191">
        <f t="shared" si="24"/>
        <v>477.5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>
      <c r="A183" s="191">
        <f t="shared" si="24"/>
        <v>480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>
      <c r="A184" s="191">
        <f t="shared" si="24"/>
        <v>482.5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>
      <c r="A185" s="191">
        <f t="shared" si="24"/>
        <v>485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>
      <c r="A186" s="191">
        <f t="shared" si="24"/>
        <v>487.5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>
      <c r="A187" s="191">
        <f t="shared" si="24"/>
        <v>490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>
      <c r="A188" s="191">
        <f t="shared" si="24"/>
        <v>492.5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>
      <c r="A189" s="191">
        <f t="shared" si="24"/>
        <v>495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>
      <c r="A190" s="191">
        <f t="shared" si="24"/>
        <v>497.5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>
      <c r="A191" s="191">
        <f t="shared" si="24"/>
        <v>500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>
      <c r="A192" s="191">
        <f t="shared" si="24"/>
        <v>502.5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>
      <c r="A193" s="191">
        <f t="shared" si="24"/>
        <v>505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>
      <c r="A194" s="191">
        <f t="shared" si="24"/>
        <v>507.5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>
      <c r="A195" s="191">
        <f t="shared" si="24"/>
        <v>510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>
      <c r="A196" s="191">
        <f t="shared" si="24"/>
        <v>512.5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>
      <c r="A197" s="191">
        <f aca="true" t="shared" si="36" ref="A197:A260">IF(M197+$K$2&gt;$L$1,0,M197+$K$2)</f>
        <v>515</v>
      </c>
      <c r="B197" s="186">
        <f aca="true" t="shared" si="37" ref="B197:B260">IF(A197=0,0,MIN($B$1/2,INT(M197/(2*$B$2))))</f>
        <v>2</v>
      </c>
      <c r="C197" s="187">
        <f aca="true" t="shared" si="38" ref="C197:C260">IF(A197=0,0,MIN($C$1/2,INT(($M197-2*$B197*$B$2)/(2*$C$2))))</f>
        <v>0</v>
      </c>
      <c r="D197" s="186">
        <f aca="true" t="shared" si="39" ref="D197:D260">IF(A197=0,0,MIN($D$1/2,INT(($M197-2*$B197*$B$2-2*$C197*$C$2)/(2*$D$2))))</f>
        <v>0</v>
      </c>
      <c r="E197" s="187">
        <f aca="true" t="shared" si="40" ref="E197:E260">IF(A197=0,0,MIN($E$1/2,INT(($M197-2*$B197*$B$2-2*$C197*$C$2-2*$D197*$D$2)/(2*$E$2))))</f>
        <v>7</v>
      </c>
      <c r="F197" s="186">
        <f aca="true" t="shared" si="41" ref="F197:F260">IF(A197=0,0,MIN($F$1/2,INT(($M197-2*$B197*$B$2-2*$C197*$C$2-2*$D197*$D$2-2*$E197*$E$2)/(2*$F$2))))</f>
        <v>0</v>
      </c>
      <c r="G197" s="187">
        <f aca="true" t="shared" si="42" ref="G197:G260">IF(A197=0,0,MIN($G$1/2,INT(($M197-2*$B197*$B$2-2*$C197*$C$2-2*$D197*$D$2-2*$E197*$E$2-2*$F197*$F$2)/(2*$G$2))))</f>
        <v>0</v>
      </c>
      <c r="H197" s="186">
        <f aca="true" t="shared" si="43" ref="H197:H260">IF(A197=0,0,MIN($H$1/2,INT(($M197-2*$B197*$B$2-2*$C197*$C$2-2*$D197*$D$2-2*$E197*$E$2-2*$F197*$F$2-2*$G197*$G$2)/(2*$H$2))))</f>
        <v>0</v>
      </c>
      <c r="I197" s="187">
        <f aca="true" t="shared" si="44" ref="I197:I260">IF(A197=0,0,MIN($I$1/2,INT(($M197-2*$B197*$B$2-2*$C197*$C$2-2*$D197*$D$2-2*$E197*$E$2-2*$F197*$F$2-2*$G197*$G$2-2*$H197*$H$2)/(2*$I$2))))</f>
        <v>0</v>
      </c>
      <c r="J197" s="186">
        <f aca="true" t="shared" si="45" ref="J197:J260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aca="true" t="shared" si="46" ref="M197:M260">IF($A$2="Pounds",5*L197,2.5*L197)</f>
        <v>482.5</v>
      </c>
    </row>
    <row r="198" spans="1:13" ht="12.75" customHeight="1">
      <c r="A198" s="191">
        <f t="shared" si="36"/>
        <v>517.5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>
      <c r="A199" s="191">
        <f t="shared" si="36"/>
        <v>520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>
      <c r="A200" s="191">
        <f t="shared" si="36"/>
        <v>522.5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>
      <c r="A201" s="191">
        <f t="shared" si="36"/>
        <v>525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>
      <c r="A202" s="191">
        <f t="shared" si="36"/>
        <v>527.5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>
      <c r="A203" s="191">
        <f t="shared" si="36"/>
        <v>530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>
      <c r="A204" s="191">
        <f t="shared" si="36"/>
        <v>532.5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>
      <c r="A205" s="191">
        <f t="shared" si="36"/>
        <v>535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aca="true" t="shared" si="47" ref="L205:L260">L204+1</f>
        <v>201</v>
      </c>
      <c r="M205" s="189">
        <f t="shared" si="46"/>
        <v>502.5</v>
      </c>
    </row>
    <row r="206" spans="1:13" ht="12.75" customHeight="1">
      <c r="A206" s="191">
        <f t="shared" si="36"/>
        <v>537.5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>
      <c r="A207" s="191">
        <f t="shared" si="36"/>
        <v>540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>
      <c r="A208" s="191">
        <f t="shared" si="36"/>
        <v>542.5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>
      <c r="A209" s="191">
        <f t="shared" si="36"/>
        <v>545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>
      <c r="A210" s="191">
        <f t="shared" si="36"/>
        <v>547.5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>
      <c r="A211" s="191">
        <f t="shared" si="36"/>
        <v>550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>
      <c r="A212" s="191">
        <f t="shared" si="36"/>
        <v>552.5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>
      <c r="A213" s="191">
        <f t="shared" si="36"/>
        <v>555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>
      <c r="A214" s="191">
        <f t="shared" si="36"/>
        <v>557.5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>
      <c r="A215" s="191">
        <f t="shared" si="36"/>
        <v>560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>
      <c r="A216" s="191">
        <f t="shared" si="36"/>
        <v>562.5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>
      <c r="A217" s="191">
        <f t="shared" si="36"/>
        <v>565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>
      <c r="A218" s="191">
        <f t="shared" si="36"/>
        <v>567.5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>
      <c r="A219" s="191">
        <f t="shared" si="36"/>
        <v>570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>
      <c r="A220" s="191">
        <f t="shared" si="36"/>
        <v>572.5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>
      <c r="A221" s="191">
        <f t="shared" si="36"/>
        <v>575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>
      <c r="A222" s="191">
        <f t="shared" si="36"/>
        <v>577.5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>
      <c r="A223" s="191">
        <f t="shared" si="36"/>
        <v>580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>
      <c r="A224" s="191">
        <f t="shared" si="36"/>
        <v>582.5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>
      <c r="A225" s="191">
        <f t="shared" si="36"/>
        <v>585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>
      <c r="A226" s="191">
        <f t="shared" si="36"/>
        <v>587.5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>
      <c r="A227" s="191">
        <f t="shared" si="36"/>
        <v>590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>
      <c r="A228" s="191">
        <f t="shared" si="36"/>
        <v>592.5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>
      <c r="A229" s="191">
        <f t="shared" si="36"/>
        <v>595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>
      <c r="A230" s="191">
        <f t="shared" si="36"/>
        <v>597.5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>
      <c r="A231" s="191">
        <f t="shared" si="36"/>
        <v>600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>
      <c r="A232" s="191">
        <f t="shared" si="36"/>
        <v>602.5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>
      <c r="A233" s="191">
        <f t="shared" si="36"/>
        <v>605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>
      <c r="A234" s="191">
        <f t="shared" si="36"/>
        <v>607.5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>
      <c r="A235" s="191">
        <f t="shared" si="36"/>
        <v>610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>
      <c r="A236" s="191">
        <f t="shared" si="36"/>
        <v>612.5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>
      <c r="A237" s="191">
        <f t="shared" si="36"/>
        <v>615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>
      <c r="A238" s="191">
        <f t="shared" si="36"/>
        <v>617.5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>
      <c r="A239" s="191">
        <f t="shared" si="36"/>
        <v>620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>
      <c r="A240" s="191">
        <f t="shared" si="36"/>
        <v>622.5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>
      <c r="A241" s="191">
        <f t="shared" si="36"/>
        <v>625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>
      <c r="A242" s="191">
        <f t="shared" si="36"/>
        <v>627.5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>
      <c r="A243" s="191">
        <f t="shared" si="36"/>
        <v>630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7" customWidth="1"/>
    <col min="11" max="11" width="8.00390625" style="64" customWidth="1"/>
    <col min="12" max="15" width="9.140625" style="64" hidden="1" customWidth="1"/>
    <col min="16" max="16" width="4.421875" style="207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7"/>
      <c r="K1" s="64"/>
      <c r="L1" s="64"/>
      <c r="M1" s="64"/>
      <c r="N1" s="64"/>
      <c r="O1" s="64"/>
      <c r="P1" s="20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6" customFormat="1" ht="26.25" thickBot="1">
      <c r="A2" s="197"/>
      <c r="B2" s="197" t="s">
        <v>151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147</v>
      </c>
      <c r="H2" s="197" t="s">
        <v>138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148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134</v>
      </c>
      <c r="AD2" s="197" t="s">
        <v>139</v>
      </c>
      <c r="AE2" s="197" t="s">
        <v>144</v>
      </c>
      <c r="AF2" s="197" t="s">
        <v>31</v>
      </c>
      <c r="AG2" s="197" t="s">
        <v>38</v>
      </c>
      <c r="AH2" s="197" t="s">
        <v>45</v>
      </c>
      <c r="AI2" s="197" t="s">
        <v>150</v>
      </c>
      <c r="AJ2" s="195" t="s">
        <v>146</v>
      </c>
      <c r="AK2" s="195" t="s">
        <v>37</v>
      </c>
      <c r="AL2" s="195" t="s">
        <v>39</v>
      </c>
      <c r="AP2" s="196" t="s">
        <v>142</v>
      </c>
      <c r="AQ2" s="196" t="s">
        <v>143</v>
      </c>
      <c r="AR2" s="196">
        <v>-1</v>
      </c>
      <c r="CC2" s="196">
        <v>5</v>
      </c>
      <c r="CH2" s="196" t="s">
        <v>124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6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1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7" hidden="1" customWidth="1"/>
    <col min="50" max="50" width="9.140625" style="31" hidden="1" customWidth="1"/>
    <col min="51" max="51" width="18.57421875" style="171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2" t="s">
        <v>77</v>
      </c>
      <c r="C1" s="357"/>
      <c r="D1" s="357"/>
      <c r="E1" s="353"/>
      <c r="F1" s="352" t="s">
        <v>29</v>
      </c>
      <c r="G1" s="353"/>
      <c r="H1" s="352" t="s">
        <v>42</v>
      </c>
      <c r="I1" s="353"/>
      <c r="J1" s="40">
        <f>IF(ISERROR(A2),1,0)</f>
        <v>1</v>
      </c>
      <c r="K1" s="16"/>
      <c r="L1" s="16"/>
      <c r="M1" s="16"/>
      <c r="N1" s="16"/>
      <c r="O1" s="16"/>
      <c r="P1" s="2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8"/>
      <c r="AS1" s="16"/>
      <c r="AT1" s="16"/>
      <c r="AU1" s="16"/>
      <c r="AW1" s="163"/>
      <c r="AY1" s="168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65" t="s">
        <v>194</v>
      </c>
      <c r="C2" s="366"/>
      <c r="D2" s="366"/>
      <c r="E2" s="367"/>
      <c r="F2" s="354" t="e">
        <f ca="1">INDIRECT(CONCATENATE("E",A4))</f>
        <v>#N/A</v>
      </c>
      <c r="G2" s="355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8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69"/>
      <c r="AS2" s="22"/>
      <c r="AT2" s="22"/>
      <c r="AU2" s="22"/>
      <c r="AV2" s="25"/>
      <c r="AW2" s="164"/>
      <c r="AX2" s="25"/>
      <c r="AY2" s="169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61" t="s">
        <v>22</v>
      </c>
      <c r="C3" s="362"/>
      <c r="D3" s="360" t="e">
        <f ca="1">INDIRECT(A2)</f>
        <v>#N/A</v>
      </c>
      <c r="E3" s="356"/>
      <c r="F3" s="35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9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69"/>
      <c r="AS3" s="22"/>
      <c r="AT3" s="22"/>
      <c r="AU3" s="22"/>
      <c r="AV3" s="25"/>
      <c r="AW3" s="164"/>
      <c r="AX3" s="25"/>
      <c r="AY3" s="169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63" t="e">
        <f ca="1">IF(LEFT(B3,1)="D",CONCATENATE("Place - ",INDIRECT(CONCATENATE("AV",A4))),CONCATENATE("Rack - ",IF(LEFT(B3,2)=" S",INDIRECT(CONCATENATE("J",A4)),INDIRECT(CONCATENATE("P",A4)))))</f>
        <v>#N/A</v>
      </c>
      <c r="C4" s="364"/>
      <c r="D4" s="356" t="e">
        <f>IF(G4="Lb",2.2046*D3,D3/2.2046)</f>
        <v>#N/A</v>
      </c>
      <c r="E4" s="356"/>
      <c r="F4" s="35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9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69"/>
      <c r="AS4" s="22"/>
      <c r="AT4" s="22"/>
      <c r="AU4" s="22"/>
      <c r="AV4" s="25"/>
      <c r="AW4" s="164"/>
      <c r="AX4" s="25"/>
      <c r="AY4" s="169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9"/>
      <c r="AF5" s="101"/>
      <c r="AG5" s="101"/>
      <c r="AH5" s="102"/>
      <c r="AJ5" s="22"/>
      <c r="AM5" s="22"/>
      <c r="AN5" s="22"/>
      <c r="AQ5" s="22"/>
      <c r="AR5" s="169"/>
      <c r="AS5" s="22"/>
      <c r="AT5" s="22"/>
      <c r="AU5" s="22"/>
      <c r="AW5" s="164"/>
      <c r="AY5" s="169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0" t="s">
        <v>158</v>
      </c>
      <c r="I6" s="351"/>
      <c r="K6" s="22"/>
      <c r="L6" s="22"/>
      <c r="M6" s="22"/>
      <c r="N6" s="22"/>
      <c r="O6" s="22"/>
      <c r="P6" s="20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9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69"/>
      <c r="AS6" s="22"/>
      <c r="AT6" s="22"/>
      <c r="AU6" s="22"/>
      <c r="AW6" s="164"/>
      <c r="AY6" s="169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9"/>
      <c r="AS7" s="22" t="str">
        <f>CONCATENATE("AR10:AR",AF7)</f>
        <v>AR10:AR30</v>
      </c>
      <c r="AT7" s="22"/>
      <c r="AU7" s="22" t="str">
        <f>CONCATENATE("AT10:AT",AF7)</f>
        <v>AT10:AT30</v>
      </c>
      <c r="AW7" s="164"/>
      <c r="AY7" s="169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4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0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5" t="s">
        <v>190</v>
      </c>
      <c r="AX8" s="88" t="s">
        <v>191</v>
      </c>
      <c r="AY8" s="170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0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5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8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8">
        <f>IF(OR(ISERROR(AY9),ISERROR(AX9)),0,AY9)</f>
        <v>0</v>
      </c>
      <c r="AS9" s="36" t="e">
        <f ca="1">RANK(AR9,INDIRECT($AS$7))</f>
        <v>#N/A</v>
      </c>
      <c r="AT9" s="162">
        <f>INT(AR9/1000000)</f>
        <v>0</v>
      </c>
      <c r="AU9" s="100" t="e">
        <f ca="1">RANK(AT9,INDIRECT($AU$7))</f>
        <v>#N/A</v>
      </c>
      <c r="AV9" s="179" t="e">
        <f>AS9-AU9+1</f>
        <v>#N/A</v>
      </c>
      <c r="AW9" s="166">
        <f>F9</f>
        <v>0</v>
      </c>
      <c r="AX9" s="24">
        <f>RANK(AW9,AW:AW)</f>
        <v>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3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